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xWindow="120" yWindow="135" windowWidth="12120" windowHeight="8700" activeTab="0"/>
  </bookViews>
  <sheets>
    <sheet name="World Cup 2006" sheetId="1" r:id="rId1"/>
    <sheet name="T" sheetId="2" state="hidden" r:id="rId2"/>
  </sheets>
  <definedNames>
    <definedName name="_xlnm.Print_Area" localSheetId="0">'World Cup 2006'!$A$1:$M$87</definedName>
    <definedName name="GMT">'World Cup 2006'!$BD$6</definedName>
    <definedName name="language">'World Cup 2006'!$BF$6</definedName>
    <definedName name="T">'T'!$A:$XFD</definedName>
  </definedNames>
  <calcPr fullCalcOnLoad="1"/>
</workbook>
</file>

<file path=xl/sharedStrings.xml><?xml version="1.0" encoding="utf-8"?>
<sst xmlns="http://schemas.openxmlformats.org/spreadsheetml/2006/main" count="706" uniqueCount="589">
  <si>
    <t>World Cup 2006 Final tournament schedule</t>
  </si>
  <si>
    <t>W</t>
  </si>
  <si>
    <t>D</t>
  </si>
  <si>
    <t>L</t>
  </si>
  <si>
    <t>F - A</t>
  </si>
  <si>
    <t>Pnt</t>
  </si>
  <si>
    <t>Place</t>
  </si>
  <si>
    <t>Win</t>
  </si>
  <si>
    <t>Draw</t>
  </si>
  <si>
    <t>Lose</t>
  </si>
  <si>
    <t>F</t>
  </si>
  <si>
    <t>A</t>
  </si>
  <si>
    <t>Germany</t>
  </si>
  <si>
    <t>Second Round</t>
  </si>
  <si>
    <t>Quarter Finals</t>
  </si>
  <si>
    <t>Semi Finals</t>
  </si>
  <si>
    <t>Third Place Play-Off</t>
  </si>
  <si>
    <t>Final</t>
  </si>
  <si>
    <t>World Champion 2006</t>
  </si>
  <si>
    <t>First Round</t>
  </si>
  <si>
    <t>Costa Rica</t>
  </si>
  <si>
    <t>Poland</t>
  </si>
  <si>
    <t>Ecuador</t>
  </si>
  <si>
    <t>England</t>
  </si>
  <si>
    <t>Paraguay</t>
  </si>
  <si>
    <t>Trinidad &amp; Tobago</t>
  </si>
  <si>
    <t>Sweden</t>
  </si>
  <si>
    <t>Argentina</t>
  </si>
  <si>
    <t>Côte d'Ivoir</t>
  </si>
  <si>
    <t>Serbia &amp; Montenegro</t>
  </si>
  <si>
    <t>Netherlands</t>
  </si>
  <si>
    <t>Mexico</t>
  </si>
  <si>
    <t>Iran</t>
  </si>
  <si>
    <t>Angola</t>
  </si>
  <si>
    <t>Portugal</t>
  </si>
  <si>
    <t>Italy</t>
  </si>
  <si>
    <t>Ghana</t>
  </si>
  <si>
    <t>USA</t>
  </si>
  <si>
    <t>Czech Republic</t>
  </si>
  <si>
    <t>Brazil</t>
  </si>
  <si>
    <t>Croatia</t>
  </si>
  <si>
    <t>Australia</t>
  </si>
  <si>
    <t>Japan</t>
  </si>
  <si>
    <t>France</t>
  </si>
  <si>
    <t>Switzerland</t>
  </si>
  <si>
    <t>South Korea</t>
  </si>
  <si>
    <t>Togo</t>
  </si>
  <si>
    <t>Spain</t>
  </si>
  <si>
    <t>Ukraine</t>
  </si>
  <si>
    <t>Tunisia</t>
  </si>
  <si>
    <t>Saudi Arabia</t>
  </si>
  <si>
    <t>R</t>
  </si>
  <si>
    <t>GMT - 11:00</t>
  </si>
  <si>
    <t>GMT - 10:00</t>
  </si>
  <si>
    <t>GMT - 9:00</t>
  </si>
  <si>
    <t>GMT - 8:00</t>
  </si>
  <si>
    <t>GMT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</si>
  <si>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</si>
  <si>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</si>
  <si>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</si>
  <si>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</si>
  <si>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</si>
  <si>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</si>
  <si>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</si>
  <si>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 + 1:00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</si>
  <si>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</si>
  <si>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</si>
  <si>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</si>
  <si>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</si>
  <si>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</si>
  <si>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</si>
  <si>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</si>
  <si>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</si>
  <si>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</si>
  <si>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</si>
  <si>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</si>
  <si>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English</t>
  </si>
  <si>
    <t>German</t>
  </si>
  <si>
    <t>Spielplan Weltmeisterschafts endrunde 2006</t>
  </si>
  <si>
    <t>Deutschland</t>
  </si>
  <si>
    <t>Polen</t>
  </si>
  <si>
    <t>Trinidad und Tobago</t>
  </si>
  <si>
    <t>Schweden</t>
  </si>
  <si>
    <t>Argentinien</t>
  </si>
  <si>
    <t>Elfenbeinküste</t>
  </si>
  <si>
    <t>Serbien und Montenegro</t>
  </si>
  <si>
    <t>Niederlande</t>
  </si>
  <si>
    <t>Mexiko</t>
  </si>
  <si>
    <t>Italien</t>
  </si>
  <si>
    <t>Tschechien</t>
  </si>
  <si>
    <t>Brasilien</t>
  </si>
  <si>
    <t>Kroatien</t>
  </si>
  <si>
    <t>Australien</t>
  </si>
  <si>
    <t>Frankreich</t>
  </si>
  <si>
    <t>Schweiz</t>
  </si>
  <si>
    <t>Süd Korea</t>
  </si>
  <si>
    <t>Spanien</t>
  </si>
  <si>
    <t>Tunesien</t>
  </si>
  <si>
    <t>Saudiarabien</t>
  </si>
  <si>
    <t>G</t>
  </si>
  <si>
    <t>U</t>
  </si>
  <si>
    <t>V</t>
  </si>
  <si>
    <t>Torv.</t>
  </si>
  <si>
    <t>Pkt</t>
  </si>
  <si>
    <t>Group</t>
  </si>
  <si>
    <t>Gruppe</t>
  </si>
  <si>
    <t>Gruppenspiele</t>
  </si>
  <si>
    <t>Achtelfinale</t>
  </si>
  <si>
    <t>Viertelfinale</t>
  </si>
  <si>
    <t>Halbfinale</t>
  </si>
  <si>
    <t>Spiel um Platz 3</t>
  </si>
  <si>
    <t>Finale</t>
  </si>
  <si>
    <t>Visit home page</t>
  </si>
  <si>
    <t>besuche Homepage</t>
  </si>
  <si>
    <t>Jun</t>
  </si>
  <si>
    <t>Jul</t>
  </si>
  <si>
    <t>Weltmeister 2006</t>
  </si>
  <si>
    <t>Group A Winner</t>
  </si>
  <si>
    <t>Group A Second place</t>
  </si>
  <si>
    <t>Sieger Gruppe A</t>
  </si>
  <si>
    <t>Zweiter Gruppe A</t>
  </si>
  <si>
    <t>Group B Winner</t>
  </si>
  <si>
    <t>Sieger Gruppe B</t>
  </si>
  <si>
    <t>Group B Second place</t>
  </si>
  <si>
    <t>Zweiter Gruppe B</t>
  </si>
  <si>
    <t>Group C Winner</t>
  </si>
  <si>
    <t>Sieger Gruppe C</t>
  </si>
  <si>
    <t>Group C Second place</t>
  </si>
  <si>
    <t>Zweiter Gruppe C</t>
  </si>
  <si>
    <t>Group D Winner</t>
  </si>
  <si>
    <t>Sieger Gruppe D</t>
  </si>
  <si>
    <t>Group D Second place</t>
  </si>
  <si>
    <t>Zweiter Gruppe D</t>
  </si>
  <si>
    <t>Group E Winner</t>
  </si>
  <si>
    <t>Sieger Gruppe E</t>
  </si>
  <si>
    <t>Group E Second place</t>
  </si>
  <si>
    <t>Zweiter Gruppe E</t>
  </si>
  <si>
    <t>Group F Winner</t>
  </si>
  <si>
    <t>Sieger Gruppe F</t>
  </si>
  <si>
    <t>Group F Second place</t>
  </si>
  <si>
    <t>Zweiter Gruppe F</t>
  </si>
  <si>
    <t>Group G Winner</t>
  </si>
  <si>
    <t>Sieger Gruppe G</t>
  </si>
  <si>
    <t>Group G Second place</t>
  </si>
  <si>
    <t>Zweiter Gruppe G</t>
  </si>
  <si>
    <t>Group H Winner</t>
  </si>
  <si>
    <t>Sieger Gruppe H</t>
  </si>
  <si>
    <t>Group H Second place</t>
  </si>
  <si>
    <t>Zweiter Gruppe H</t>
  </si>
  <si>
    <t>Second Round 1 Winner</t>
  </si>
  <si>
    <t>Second Round 2 Winner</t>
  </si>
  <si>
    <t>Second Round 3 Winner</t>
  </si>
  <si>
    <t>Second Round 4 Winner</t>
  </si>
  <si>
    <t>Second Round 5 Winner</t>
  </si>
  <si>
    <t>Second Round 6 Winner</t>
  </si>
  <si>
    <t>Second Round 7 Winner</t>
  </si>
  <si>
    <t>Second Round 8 Winner</t>
  </si>
  <si>
    <t>Sieger Achtelfinale 1</t>
  </si>
  <si>
    <t>Sieger Achtelfinale 2</t>
  </si>
  <si>
    <t>Sieger Achtelfinale 3</t>
  </si>
  <si>
    <t>Sieger Achtelfinale 4</t>
  </si>
  <si>
    <t>Sieger Achtelfinale 5</t>
  </si>
  <si>
    <t>Sieger Achtelfinale 6</t>
  </si>
  <si>
    <t>Sieger Achtelfinale 7</t>
  </si>
  <si>
    <t>Sieger Achtelfinale 8</t>
  </si>
  <si>
    <t>Quarter Final 1 Winner</t>
  </si>
  <si>
    <t>Quarter Final 2 Winner</t>
  </si>
  <si>
    <t>Quarter Final 3 Winner</t>
  </si>
  <si>
    <t>Quarter Final 4 Winner</t>
  </si>
  <si>
    <t>Sieger Viertelfinale 1</t>
  </si>
  <si>
    <t>Sieger Viertelfinale 2</t>
  </si>
  <si>
    <t>Sieger Viertelfinale 3</t>
  </si>
  <si>
    <t>Sieger Viertelfinale 4</t>
  </si>
  <si>
    <t>Semi Final 1 Winner</t>
  </si>
  <si>
    <t>Semi Final 2 Winner</t>
  </si>
  <si>
    <t>Semi Final 1 Loser</t>
  </si>
  <si>
    <t>Semi Final 2 Loser</t>
  </si>
  <si>
    <t>Sieger Halbfinale 1</t>
  </si>
  <si>
    <t>Sieger Halbfinale 2</t>
  </si>
  <si>
    <t>Verlierer Halbfinale 3</t>
  </si>
  <si>
    <t>Verlierer Halbfinale 4</t>
  </si>
  <si>
    <t>French</t>
  </si>
  <si>
    <t>Spanish</t>
  </si>
  <si>
    <t>Italian</t>
  </si>
  <si>
    <t>Portuguese</t>
  </si>
  <si>
    <t>Coupe du Monde de la FIFA 2006 - Calendrier des matches</t>
  </si>
  <si>
    <t>Allemagne</t>
  </si>
  <si>
    <t>Pologne</t>
  </si>
  <si>
    <t>Equateur</t>
  </si>
  <si>
    <t>Angleterre</t>
  </si>
  <si>
    <t>Trinidad et Tobago</t>
  </si>
  <si>
    <t>Suède</t>
  </si>
  <si>
    <t>Argentine</t>
  </si>
  <si>
    <t>Côte d'Ivoire</t>
  </si>
  <si>
    <t>Serbie et Monténégro</t>
  </si>
  <si>
    <t>Pays-Bas</t>
  </si>
  <si>
    <t>Mexique</t>
  </si>
  <si>
    <t>Italie</t>
  </si>
  <si>
    <t>Etats-Unis</t>
  </si>
  <si>
    <t>République Tchèque</t>
  </si>
  <si>
    <t>Brésil</t>
  </si>
  <si>
    <t>Croatie</t>
  </si>
  <si>
    <t>Australie</t>
  </si>
  <si>
    <t>Japon</t>
  </si>
  <si>
    <t>Suisse</t>
  </si>
  <si>
    <t>République de Corée</t>
  </si>
  <si>
    <t>Espagne</t>
  </si>
  <si>
    <t>Tunisie</t>
  </si>
  <si>
    <t>Arabie Saoudite</t>
  </si>
  <si>
    <t>N</t>
  </si>
  <si>
    <t>P</t>
  </si>
  <si>
    <t>Bp - Bc</t>
  </si>
  <si>
    <t>Pts</t>
  </si>
  <si>
    <t>Groupe</t>
  </si>
  <si>
    <t>Premier Tour</t>
  </si>
  <si>
    <t>Huitièmes de Finale</t>
  </si>
  <si>
    <t>Quarts de Finale</t>
  </si>
  <si>
    <t>Demi-Finales</t>
  </si>
  <si>
    <t>Match pour la troisième place</t>
  </si>
  <si>
    <t>Champion du Monde 2006</t>
  </si>
  <si>
    <t>Premier du Groupe A</t>
  </si>
  <si>
    <t>Premier du Groupe B</t>
  </si>
  <si>
    <t>Premier du Groupe C</t>
  </si>
  <si>
    <t>Premier du Groupe D</t>
  </si>
  <si>
    <t>Premier du Groupe E</t>
  </si>
  <si>
    <t>Premier du Groupe F</t>
  </si>
  <si>
    <t>Premier du Groupe G</t>
  </si>
  <si>
    <t>Premier du Groupe H</t>
  </si>
  <si>
    <t>Deuxième du Groupe B</t>
  </si>
  <si>
    <t>Deuxième du Groupe A</t>
  </si>
  <si>
    <t>Deuxième du Groupe C</t>
  </si>
  <si>
    <t>Deuxième du Groupe D</t>
  </si>
  <si>
    <t>Deuxième du Groupe E</t>
  </si>
  <si>
    <t>Deuxième du Groupe F</t>
  </si>
  <si>
    <t>Deuxième du Groupe G</t>
  </si>
  <si>
    <t>Deuxième du Groupe H</t>
  </si>
  <si>
    <t>Vainqueur du Huitièmes de Finale 1</t>
  </si>
  <si>
    <t>Vainqueur du Huitièmes de Finale 2</t>
  </si>
  <si>
    <t>Vainqueur du Huitièmes de Finale 3</t>
  </si>
  <si>
    <t>Vainqueur du Huitièmes de Finale 4</t>
  </si>
  <si>
    <t>Vainqueur du Huitièmes de Finale 5</t>
  </si>
  <si>
    <t>Vainqueur du Huitièmes de Finale 6</t>
  </si>
  <si>
    <t>Vainqueur du Huitièmes de Finale 7</t>
  </si>
  <si>
    <t>Vainqueur du Huitièmes de Finale 8</t>
  </si>
  <si>
    <t>Vainqueur du Quarts de Finale 1</t>
  </si>
  <si>
    <t>Vainqueur du Quarts de Finale 2</t>
  </si>
  <si>
    <t>Vainqueur du Quarts de Finale 3</t>
  </si>
  <si>
    <t>Vainqueur du Quarts de Finale 4</t>
  </si>
  <si>
    <t>Vainqueur de la Demi-Finales 1</t>
  </si>
  <si>
    <t>Vainqueur de la Demi-Finales 2</t>
  </si>
  <si>
    <t>Perdant de la Demi-Finales 1</t>
  </si>
  <si>
    <t>Perdant de la Demi-Finales 2</t>
  </si>
  <si>
    <t>Juin</t>
  </si>
  <si>
    <t>Juil</t>
  </si>
  <si>
    <t>Visitez notre site</t>
  </si>
  <si>
    <t>Copa mundial de Fútbol - Alemania 2006</t>
  </si>
  <si>
    <t>Alemania</t>
  </si>
  <si>
    <t>Polonia</t>
  </si>
  <si>
    <t>Inglaterra</t>
  </si>
  <si>
    <t>Trinidad y Tobago</t>
  </si>
  <si>
    <t>Suecia</t>
  </si>
  <si>
    <t>Costa de Marfil</t>
  </si>
  <si>
    <t>Serbia y Montenegro</t>
  </si>
  <si>
    <t>Holanda</t>
  </si>
  <si>
    <t>México</t>
  </si>
  <si>
    <t>Irán</t>
  </si>
  <si>
    <t>Italia</t>
  </si>
  <si>
    <t>Estados Unidos</t>
  </si>
  <si>
    <t>República Checa</t>
  </si>
  <si>
    <t>Brasil</t>
  </si>
  <si>
    <t>Croacia</t>
  </si>
  <si>
    <t>Japón</t>
  </si>
  <si>
    <t>Francia</t>
  </si>
  <si>
    <t>Suiza</t>
  </si>
  <si>
    <t>Sur Corea</t>
  </si>
  <si>
    <t>España</t>
  </si>
  <si>
    <t>Ucrania</t>
  </si>
  <si>
    <t>Túnez</t>
  </si>
  <si>
    <t>Arabia Saudí</t>
  </si>
  <si>
    <t>PG</t>
  </si>
  <si>
    <t>PE</t>
  </si>
  <si>
    <t>PP</t>
  </si>
  <si>
    <t>Grupo</t>
  </si>
  <si>
    <t>Primera Ronda</t>
  </si>
  <si>
    <t>Segunda Ronda</t>
  </si>
  <si>
    <t>Cuartos de Final</t>
  </si>
  <si>
    <t>Semifinales</t>
  </si>
  <si>
    <t>Tercer puesto</t>
  </si>
  <si>
    <t>Campeón 2006</t>
  </si>
  <si>
    <t>Primero del Grupo A</t>
  </si>
  <si>
    <t>Primero del Grupo B</t>
  </si>
  <si>
    <t>Primero del Grupo C</t>
  </si>
  <si>
    <t>Primero del Grupo D</t>
  </si>
  <si>
    <t>Primero del Grupo E</t>
  </si>
  <si>
    <t>Primero del Grupo F</t>
  </si>
  <si>
    <t>Primero del Grupo G</t>
  </si>
  <si>
    <t>Primero del Grupo H</t>
  </si>
  <si>
    <t>Segundo del Grupo B</t>
  </si>
  <si>
    <t>Segundo del Grupo C</t>
  </si>
  <si>
    <t>Segundo del Grupo D</t>
  </si>
  <si>
    <t>Segundo del Grupo E</t>
  </si>
  <si>
    <t>Segundo del Grupo F</t>
  </si>
  <si>
    <t>Segundo del Grupo G</t>
  </si>
  <si>
    <t>Segundo del Grupo H</t>
  </si>
  <si>
    <t>Ganador partido 1A vs 2B</t>
  </si>
  <si>
    <t>Ganador partido 1C vs 2D</t>
  </si>
  <si>
    <t>Ganador partido 1B vs 2A</t>
  </si>
  <si>
    <t>Ganador partido 1D vs 2C</t>
  </si>
  <si>
    <t>Ganador partido 1E vs 2F</t>
  </si>
  <si>
    <t>Ganador partido 1G vs 2H</t>
  </si>
  <si>
    <t>Ganador partido 1F vs 2E</t>
  </si>
  <si>
    <t>Ganador partido 1H vs 2G</t>
  </si>
  <si>
    <t>Primer semifinalista</t>
  </si>
  <si>
    <t>Segundo semifinalista</t>
  </si>
  <si>
    <t>Tercer semifinalista</t>
  </si>
  <si>
    <t>Cuarto semifinalista</t>
  </si>
  <si>
    <t>Finalista</t>
  </si>
  <si>
    <t>Perdedor semifinal</t>
  </si>
  <si>
    <t>Tabellone Coppa del Mondo 2006</t>
  </si>
  <si>
    <t>Germania</t>
  </si>
  <si>
    <t>Inghilterra</t>
  </si>
  <si>
    <t>Trinidad e Tobago</t>
  </si>
  <si>
    <t>Svezia</t>
  </si>
  <si>
    <t>Costa d'Avorio</t>
  </si>
  <si>
    <t>Serbia Montenegro</t>
  </si>
  <si>
    <t>Olanda</t>
  </si>
  <si>
    <t>Messico</t>
  </si>
  <si>
    <t>Portogallo</t>
  </si>
  <si>
    <t>Repubblica Ceca</t>
  </si>
  <si>
    <t>Brasile</t>
  </si>
  <si>
    <t>Croazia</t>
  </si>
  <si>
    <t>Giappone</t>
  </si>
  <si>
    <t>Svizzera</t>
  </si>
  <si>
    <t>Corea del Sud</t>
  </si>
  <si>
    <t>Spagna</t>
  </si>
  <si>
    <t>Ucraina</t>
  </si>
  <si>
    <t>Arabia Saudita</t>
  </si>
  <si>
    <t>Punti</t>
  </si>
  <si>
    <t>Gruppo</t>
  </si>
  <si>
    <t>Gironi Eliminatori</t>
  </si>
  <si>
    <t>Ottavi di Finale</t>
  </si>
  <si>
    <t>Quarti di Finale</t>
  </si>
  <si>
    <t>Semifinali</t>
  </si>
  <si>
    <t>Finale Terzo Posto</t>
  </si>
  <si>
    <t>Prima Gruppo A</t>
  </si>
  <si>
    <t>Prima Gruppo B</t>
  </si>
  <si>
    <t>Prima Gruppo C</t>
  </si>
  <si>
    <t>Prima Gruppo D</t>
  </si>
  <si>
    <t>Prima Gruppo E</t>
  </si>
  <si>
    <t>Prima Gruppo G</t>
  </si>
  <si>
    <t>Prima Gruppo H</t>
  </si>
  <si>
    <t>Prima Gruppo F</t>
  </si>
  <si>
    <t>Seconda Gruppo A</t>
  </si>
  <si>
    <t>Seconda Gruppo B</t>
  </si>
  <si>
    <t>Seconda Gruppo C</t>
  </si>
  <si>
    <t>Seconda Gruppo D</t>
  </si>
  <si>
    <t>Seconda Gruppo E</t>
  </si>
  <si>
    <t>Seconda Gruppo F</t>
  </si>
  <si>
    <t>Seconda Gruppo G</t>
  </si>
  <si>
    <t>Seconda Gruppo H</t>
  </si>
  <si>
    <t>Vincitrice Ottavo di Finale 1</t>
  </si>
  <si>
    <t>Vincitrice Ottavo di Finale 2</t>
  </si>
  <si>
    <t>Vincitrice Ottavo di Finale 3</t>
  </si>
  <si>
    <t>Vincitrice Ottavo di Finale 4</t>
  </si>
  <si>
    <t>Vincitrice Ottavo di Finale 5</t>
  </si>
  <si>
    <t>Vincitrice Ottavo di Finale 6</t>
  </si>
  <si>
    <t>Vincitrice Ottavo di Finale 7</t>
  </si>
  <si>
    <t>Vincitrice Ottavo di Finale 8</t>
  </si>
  <si>
    <t>Vincitrice Quarto di Finale 1</t>
  </si>
  <si>
    <t>Vincitrice Quarto di Finale 2</t>
  </si>
  <si>
    <t>Vincitrice Quarto di Finale 3</t>
  </si>
  <si>
    <t>Vincitrice Quarto di Finale 4</t>
  </si>
  <si>
    <t>Vincitrice Semi Finale 1</t>
  </si>
  <si>
    <t>Vincitrice Semi Finale 2</t>
  </si>
  <si>
    <t>Perdente Semi Finale 1</t>
  </si>
  <si>
    <t>Perdente Semi Finale 2</t>
  </si>
  <si>
    <t>Giu</t>
  </si>
  <si>
    <t>Lug</t>
  </si>
  <si>
    <t>Visita la nostra hom page</t>
  </si>
  <si>
    <t>Tabela Final da Copa do Mundo 2006</t>
  </si>
  <si>
    <t>Alemanha</t>
  </si>
  <si>
    <t>Polônia</t>
  </si>
  <si>
    <t>Equador</t>
  </si>
  <si>
    <t>Paraguai</t>
  </si>
  <si>
    <t>Trinidade&amp;Tobago</t>
  </si>
  <si>
    <t>Suécia</t>
  </si>
  <si>
    <t>Costa do Marfim</t>
  </si>
  <si>
    <t>Sérvia&amp;Montenegro</t>
  </si>
  <si>
    <t>Irã</t>
  </si>
  <si>
    <t>Itália</t>
  </si>
  <si>
    <t>Gana</t>
  </si>
  <si>
    <t>EUA</t>
  </si>
  <si>
    <t>República Tcheca</t>
  </si>
  <si>
    <t>Croácia</t>
  </si>
  <si>
    <t>Austrália</t>
  </si>
  <si>
    <t>Japão</t>
  </si>
  <si>
    <t>França</t>
  </si>
  <si>
    <t>Suíça</t>
  </si>
  <si>
    <t>Coréia do Sul</t>
  </si>
  <si>
    <t>Espanha</t>
  </si>
  <si>
    <t>Ucrânia</t>
  </si>
  <si>
    <t>Tunísia</t>
  </si>
  <si>
    <t>Arábia Saudita</t>
  </si>
  <si>
    <t>E</t>
  </si>
  <si>
    <t>Gp - Gc</t>
  </si>
  <si>
    <t>PT</t>
  </si>
  <si>
    <t>Primeira Fase</t>
  </si>
  <si>
    <t>Oitavas de Final</t>
  </si>
  <si>
    <t>Quartas de Final</t>
  </si>
  <si>
    <t>Semifinais</t>
  </si>
  <si>
    <t>3º Lugar</t>
  </si>
  <si>
    <t>Gf - Gs</t>
  </si>
  <si>
    <t>Gf - Gv</t>
  </si>
  <si>
    <t>Grupo A Ganhador</t>
  </si>
  <si>
    <t>Grupo B Ganhador</t>
  </si>
  <si>
    <t>Grupo C Ganhador</t>
  </si>
  <si>
    <t>Grupo D Ganhador</t>
  </si>
  <si>
    <t>Grupo E Ganhador</t>
  </si>
  <si>
    <t>Grupo F Ganhador</t>
  </si>
  <si>
    <t>Grupo G Ganhador</t>
  </si>
  <si>
    <t>Grupo H Ganhador</t>
  </si>
  <si>
    <t>Grupo A 2º colocado</t>
  </si>
  <si>
    <t>Grupo B 2º colocado</t>
  </si>
  <si>
    <t>Grupo C 2º colocado</t>
  </si>
  <si>
    <t>Grupo E 2º colocado</t>
  </si>
  <si>
    <t>Grupo D 2º colocado</t>
  </si>
  <si>
    <t>Grupo F 2º colocado</t>
  </si>
  <si>
    <t>Grupo G 2º colocado</t>
  </si>
  <si>
    <t>Grupo H 2º colocado</t>
  </si>
  <si>
    <t>Oitavas de Final 1 Vencedor</t>
  </si>
  <si>
    <t>Oitavas de Final 2 Vencedor</t>
  </si>
  <si>
    <t>Oitavas de Final 3 Vencedor</t>
  </si>
  <si>
    <t>Oitavas de Final 4 Vencedor</t>
  </si>
  <si>
    <t>Oitavas de Final 5 Vencedor</t>
  </si>
  <si>
    <t>Oitavas de Final 6 Vencedor</t>
  </si>
  <si>
    <t>Oitavas de Final 7 Vencedor</t>
  </si>
  <si>
    <t>Oitavas de Final 8 Vencedor</t>
  </si>
  <si>
    <t>Quartas de Final 1 Vencedor</t>
  </si>
  <si>
    <t>Quartas de Final 2 Vencedor</t>
  </si>
  <si>
    <t>Quartas de Final 3 Vencedor</t>
  </si>
  <si>
    <t>Quartas de Final 4 Vencedor</t>
  </si>
  <si>
    <t>Semifinal 1 Vencedor</t>
  </si>
  <si>
    <t>Semifinal 2 Vencedor</t>
  </si>
  <si>
    <t>Semifinal 1 Perdedor</t>
  </si>
  <si>
    <t>Semifinal 2 Perdedor</t>
  </si>
  <si>
    <t xml:space="preserve">Visite a página pessoal </t>
  </si>
  <si>
    <t>Dutch</t>
  </si>
  <si>
    <t>Wedstrijdschema wereldbeker voetbal 2006</t>
  </si>
  <si>
    <t>Duitsland</t>
  </si>
  <si>
    <t>Verenigd Koninkrijk</t>
  </si>
  <si>
    <t>Zweden</t>
  </si>
  <si>
    <t>Argentinië</t>
  </si>
  <si>
    <t>Ivoorkust</t>
  </si>
  <si>
    <t>Servië &amp; Montenegro</t>
  </si>
  <si>
    <t>Nederland</t>
  </si>
  <si>
    <t>Italië</t>
  </si>
  <si>
    <t>VSA</t>
  </si>
  <si>
    <t>Tsjechische Republiek</t>
  </si>
  <si>
    <t>Brazilië</t>
  </si>
  <si>
    <t>Croatië</t>
  </si>
  <si>
    <t>Australië</t>
  </si>
  <si>
    <t>Frankrijk</t>
  </si>
  <si>
    <t>Zwitserland</t>
  </si>
  <si>
    <t>Zuid-Korea</t>
  </si>
  <si>
    <t>Spanje</t>
  </si>
  <si>
    <t>Tunesië</t>
  </si>
  <si>
    <t>Saudi Arabië</t>
  </si>
  <si>
    <t>Punten</t>
  </si>
  <si>
    <t>Groep</t>
  </si>
  <si>
    <t>Kwartfinales</t>
  </si>
  <si>
    <t>Halve Finales</t>
  </si>
  <si>
    <t>Eerste Ronde</t>
  </si>
  <si>
    <t>Tweede Ronde</t>
  </si>
  <si>
    <t>Derde Plaats</t>
  </si>
  <si>
    <t>Groep A Winnaar</t>
  </si>
  <si>
    <t>Groep A Tweede Plaats</t>
  </si>
  <si>
    <t>Groep B Winnaar</t>
  </si>
  <si>
    <t>Groep B Tweede Plaats</t>
  </si>
  <si>
    <t>Groep C Winnaar</t>
  </si>
  <si>
    <t>Groep C Tweede Plaats</t>
  </si>
  <si>
    <t>Groep D Winnaar</t>
  </si>
  <si>
    <t>Groep D Tweede Plaats</t>
  </si>
  <si>
    <t>Groep E Winnaar</t>
  </si>
  <si>
    <t>Groep E Tweede Plaats</t>
  </si>
  <si>
    <t>Groep F Winnaar</t>
  </si>
  <si>
    <t>Groep F Tweede Plaats</t>
  </si>
  <si>
    <t>Groep G Winnaar</t>
  </si>
  <si>
    <t>Groep G Tweede Plaats</t>
  </si>
  <si>
    <t>Groep H Winnaar</t>
  </si>
  <si>
    <t>Groep H Tweede Plaats</t>
  </si>
  <si>
    <t>Tweede Ronde 1 Winnaar</t>
  </si>
  <si>
    <t>Tweede Ronde 2 Winnaar</t>
  </si>
  <si>
    <t>Tweede Ronde 3 Winnaar</t>
  </si>
  <si>
    <t>Tweede Ronde 4 Winnaar</t>
  </si>
  <si>
    <t>Tweede Ronde 5 Winnaar</t>
  </si>
  <si>
    <t>Tweede Ronde 6 Winnaar</t>
  </si>
  <si>
    <t>Tweede Ronde 7 Winnaar</t>
  </si>
  <si>
    <t>Tweede Ronde 8 Winnaar</t>
  </si>
  <si>
    <t>Kwartfinales 1 Winnaar</t>
  </si>
  <si>
    <t>Kwartfinales 2 Winnaar</t>
  </si>
  <si>
    <t>Kwartfinales 3 Winnaar</t>
  </si>
  <si>
    <t>Kwartfinales 4 Winnaar</t>
  </si>
  <si>
    <t>Halve Finale 1 Winnaar</t>
  </si>
  <si>
    <t>Halve Finale 2 Winnaar</t>
  </si>
  <si>
    <t>Halve Finale 1 Verliezer</t>
  </si>
  <si>
    <t>Halve Finale 2 Verliezer</t>
  </si>
  <si>
    <t>Juni</t>
  </si>
  <si>
    <t>Juli</t>
  </si>
  <si>
    <t>Bezoek onze homepagina</t>
  </si>
  <si>
    <t>Last update: 6 Mar 2006</t>
  </si>
  <si>
    <t>letztes Update 6 Mär 2006</t>
  </si>
  <si>
    <t>Dernière mise à jour: 6 Mar 2006</t>
  </si>
  <si>
    <t>Laatste update: 6 Maart 2006</t>
  </si>
  <si>
    <t>Ultimo aggionamente: 6 Mar 2006</t>
  </si>
  <si>
    <t>última atualização: 6 de Marco de 2006</t>
  </si>
  <si>
    <t>Polish</t>
  </si>
  <si>
    <t>Mistrzostwa Świata 2006 - tabela i terminarz</t>
  </si>
  <si>
    <t>Niemcy</t>
  </si>
  <si>
    <t>Kostaryka</t>
  </si>
  <si>
    <t>Polska</t>
  </si>
  <si>
    <t>Ekwador</t>
  </si>
  <si>
    <t>Anglia</t>
  </si>
  <si>
    <t>Pargwaj</t>
  </si>
  <si>
    <t>Trynidad i Tobago</t>
  </si>
  <si>
    <t>Szwecja</t>
  </si>
  <si>
    <t>Argentyna</t>
  </si>
  <si>
    <t>Wyb. Kości Słoniowej</t>
  </si>
  <si>
    <t>Serbia i Czarnogóra</t>
  </si>
  <si>
    <t>Holandia</t>
  </si>
  <si>
    <t>Meksyk</t>
  </si>
  <si>
    <t>Portugalia</t>
  </si>
  <si>
    <t>Włochy</t>
  </si>
  <si>
    <t>Czechy</t>
  </si>
  <si>
    <t>Brazylia</t>
  </si>
  <si>
    <t>Chorwacja</t>
  </si>
  <si>
    <t>Japonia</t>
  </si>
  <si>
    <t>Francja</t>
  </si>
  <si>
    <t>Szwajcaria</t>
  </si>
  <si>
    <t>Korea Płd.</t>
  </si>
  <si>
    <t>Hiszpania</t>
  </si>
  <si>
    <t>Ukraina</t>
  </si>
  <si>
    <t>Tunezja</t>
  </si>
  <si>
    <t>Arabia Saudyjska</t>
  </si>
  <si>
    <t>Z</t>
  </si>
  <si>
    <t>Grupa</t>
  </si>
  <si>
    <t>I Runda</t>
  </si>
  <si>
    <t>II Runda</t>
  </si>
  <si>
    <t>Ćwierćfinał</t>
  </si>
  <si>
    <t>Półfinał</t>
  </si>
  <si>
    <t>Mecz o 3 miejsce</t>
  </si>
  <si>
    <t>Finał</t>
  </si>
  <si>
    <t>Mistrzostwa Świata 2006</t>
  </si>
  <si>
    <t>Campione del Mondo 2006</t>
  </si>
  <si>
    <t>Campeão Mundial 2006</t>
  </si>
  <si>
    <t>Wereldkampioen 2006</t>
  </si>
  <si>
    <t>I miejsce Grupy A</t>
  </si>
  <si>
    <t>I miejsce Grupy B</t>
  </si>
  <si>
    <t>I miejsce Grupy C</t>
  </si>
  <si>
    <t>I miejsce Grupy D</t>
  </si>
  <si>
    <t>I miejsce Grupy E</t>
  </si>
  <si>
    <t>I miejsce Grupy F</t>
  </si>
  <si>
    <t>I miejsce Grupy G</t>
  </si>
  <si>
    <t>I miejsce Grupy H</t>
  </si>
  <si>
    <t>II miejsce Grupy B</t>
  </si>
  <si>
    <t>II miejsce Grupy A</t>
  </si>
  <si>
    <t>II miejsce Grupy C</t>
  </si>
  <si>
    <t>II miejsce Grupy D</t>
  </si>
  <si>
    <t>II miejsce Grupy E</t>
  </si>
  <si>
    <t>II miejsce Grupy F</t>
  </si>
  <si>
    <t>II miejsce Grupy G</t>
  </si>
  <si>
    <t>II miejsce Grupy H</t>
  </si>
  <si>
    <t>Zwyciężca 1 meczu II Rundy</t>
  </si>
  <si>
    <t>Zwyciężca 2 meczu II Rundy</t>
  </si>
  <si>
    <t>Zwyciężca 3 meczu II Rundy</t>
  </si>
  <si>
    <t>Zwyciężca 4 meczu II Rundy</t>
  </si>
  <si>
    <t>Zwyciężca 5 meczu II Rundy</t>
  </si>
  <si>
    <t>Zwyciężca 6 meczu II Rundy</t>
  </si>
  <si>
    <t>Zwyciężca 7 meczu II Rundy</t>
  </si>
  <si>
    <t>Zwyciężca 8 meczu II Rundy</t>
  </si>
  <si>
    <t>Zwyciężca 1 meczu Ćwierćfinału</t>
  </si>
  <si>
    <t>Zwyciężca 2 meczu Ćwierćfinału</t>
  </si>
  <si>
    <t>Zwyciężca 3 meczu Ćwierćfinału</t>
  </si>
  <si>
    <t>Zwyciężca 4 meczu Ćwierćfinału</t>
  </si>
  <si>
    <t>Zwyciężca 1 meczu Półfinału</t>
  </si>
  <si>
    <t>Zwyciężca 2 meczu Półfinału</t>
  </si>
  <si>
    <t>Przegrany 1 meczu Półfinału</t>
  </si>
  <si>
    <t>Przegrany 2 meczu Półfinału</t>
  </si>
  <si>
    <t>BZ - BS</t>
  </si>
  <si>
    <t>V - T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</si>
</sst>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;@"/>
    <numFmt numFmtId="173" formatCode="h:mm;@"/>
    <numFmt numFmtId="174" formatCode="[$-409]d\-mmm;@"/>
  </numFmts>
  <fonts count="16"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color indexed="63"/>
      <name val="Tahoma"/>
      <family val="2"/>
    </font>
    <font>
      <b/>
      <sz val="20"/>
      <name val="Tahoma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12"/>
      <name val="Tahoma"/>
      <family val="2"/>
    </font>
    <font>
      <sz val="9"/>
      <name val="Tahoma"/>
      <family val="2"/>
    </font>
    <font>
      <sz val="8"/>
      <color indexed="55"/>
      <name val="Tahoma"/>
      <family val="2"/>
    </font>
    <font>
      <b/>
      <sz val="8"/>
      <name val="Arial CYR"/>
      <family val="0"/>
    </font>
    <font>
      <b/>
      <sz val="12"/>
      <color indexed="48"/>
      <name val="Tahoma"/>
      <family val="2"/>
    </font>
    <font>
      <b/>
      <sz val="12"/>
      <color indexed="48"/>
      <name val="Arial Cyr"/>
      <family val="0"/>
    </font>
    <font>
      <b/>
      <sz val="10"/>
      <color indexed="9"/>
      <name val="Tahoma"/>
      <family val="2"/>
    </font>
    <font>
      <sz val="10"/>
      <color indexed="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173" fontId="1" fillId="0" borderId="0" xfId="0" applyNumberFormat="1" applyFont="1" applyAlignment="1" applyProtection="1">
      <alignment vertical="center"/>
      <protection hidden="1"/>
    </xf>
    <xf numFmtId="173" fontId="1" fillId="0" borderId="0" xfId="0" applyNumberFormat="1" applyFont="1" applyBorder="1" applyAlignment="1" applyProtection="1">
      <alignment horizontal="center" vertical="center"/>
      <protection hidden="1"/>
    </xf>
    <xf numFmtId="173" fontId="1" fillId="0" borderId="0" xfId="0" applyNumberFormat="1" applyFont="1" applyBorder="1" applyAlignment="1" applyProtection="1">
      <alignment vertical="center"/>
      <protection hidden="1"/>
    </xf>
    <xf numFmtId="0" fontId="8" fillId="0" borderId="9" xfId="0" applyFont="1" applyBorder="1" applyAlignment="1" applyProtection="1">
      <alignment horizontal="center" vertical="center"/>
      <protection locked="0"/>
    </xf>
    <xf numFmtId="0" fontId="9" fillId="0" borderId="0" xfId="15" applyFont="1" applyFill="1" applyBorder="1" applyAlignment="1" applyProtection="1">
      <alignment horizontal="center" vertical="center" wrapText="1"/>
      <protection hidden="1"/>
    </xf>
    <xf numFmtId="174" fontId="1" fillId="0" borderId="0" xfId="0" applyNumberFormat="1" applyFont="1" applyBorder="1" applyAlignment="1" applyProtection="1">
      <alignment horizontal="right" vertical="center"/>
      <protection hidden="1"/>
    </xf>
    <xf numFmtId="172" fontId="1" fillId="0" borderId="0" xfId="0" applyNumberFormat="1" applyFont="1" applyAlignment="1" applyProtection="1">
      <alignment horizontal="right" vertical="center"/>
      <protection hidden="1"/>
    </xf>
    <xf numFmtId="174" fontId="1" fillId="0" borderId="0" xfId="0" applyNumberFormat="1" applyFont="1" applyAlignment="1" applyProtection="1">
      <alignment horizontal="right" vertical="center"/>
      <protection hidden="1"/>
    </xf>
    <xf numFmtId="172" fontId="1" fillId="0" borderId="0" xfId="0" applyNumberFormat="1" applyFont="1" applyBorder="1" applyAlignment="1" applyProtection="1">
      <alignment horizontal="right" vertical="center"/>
      <protection hidden="1"/>
    </xf>
    <xf numFmtId="0" fontId="10" fillId="0" borderId="0" xfId="15" applyFont="1" applyFill="1" applyBorder="1" applyAlignment="1" applyProtection="1">
      <alignment horizontal="left"/>
      <protection hidden="1"/>
    </xf>
    <xf numFmtId="0" fontId="10" fillId="0" borderId="0" xfId="15" applyFont="1" applyFill="1" applyBorder="1" applyAlignment="1" applyProtection="1">
      <alignment horizontal="right"/>
      <protection hidden="1"/>
    </xf>
    <xf numFmtId="174" fontId="1" fillId="0" borderId="0" xfId="0" applyNumberFormat="1" applyFont="1" applyFill="1" applyBorder="1" applyAlignment="1" applyProtection="1">
      <alignment horizontal="right" vertical="center"/>
      <protection hidden="1"/>
    </xf>
    <xf numFmtId="173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9" fillId="0" borderId="0" xfId="15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 locked="0"/>
    </xf>
    <xf numFmtId="172" fontId="5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3" borderId="10" xfId="15" applyFont="1" applyFill="1" applyBorder="1" applyAlignment="1" applyProtection="1">
      <alignment horizontal="center" vertical="center" wrapText="1"/>
      <protection hidden="1"/>
    </xf>
    <xf numFmtId="0" fontId="13" fillId="3" borderId="11" xfId="15" applyFont="1" applyFill="1" applyBorder="1" applyAlignment="1" applyProtection="1">
      <alignment horizontal="center" vertical="center" wrapText="1"/>
      <protection hidden="1"/>
    </xf>
    <xf numFmtId="0" fontId="13" fillId="3" borderId="12" xfId="15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172" fontId="3" fillId="4" borderId="1" xfId="0" applyNumberFormat="1" applyFont="1" applyFill="1" applyBorder="1" applyAlignment="1" applyProtection="1">
      <alignment horizontal="center" vertical="center"/>
      <protection hidden="1"/>
    </xf>
    <xf numFmtId="172" fontId="3" fillId="4" borderId="2" xfId="0" applyNumberFormat="1" applyFont="1" applyFill="1" applyBorder="1" applyAlignment="1" applyProtection="1">
      <alignment horizontal="center" vertical="center"/>
      <protection hidden="1"/>
    </xf>
    <xf numFmtId="172" fontId="3" fillId="4" borderId="3" xfId="0" applyNumberFormat="1" applyFont="1" applyFill="1" applyBorder="1" applyAlignment="1" applyProtection="1">
      <alignment horizontal="center" vertical="center"/>
      <protection hidden="1"/>
    </xf>
    <xf numFmtId="172" fontId="3" fillId="4" borderId="6" xfId="0" applyNumberFormat="1" applyFont="1" applyFill="1" applyBorder="1" applyAlignment="1" applyProtection="1">
      <alignment horizontal="center" vertical="center"/>
      <protection hidden="1"/>
    </xf>
    <xf numFmtId="172" fontId="3" fillId="4" borderId="7" xfId="0" applyNumberFormat="1" applyFont="1" applyFill="1" applyBorder="1" applyAlignment="1" applyProtection="1">
      <alignment horizontal="center" vertical="center"/>
      <protection hidden="1"/>
    </xf>
    <xf numFmtId="172" fontId="3" fillId="4" borderId="8" xfId="0" applyNumberFormat="1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172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5">
    <dxf>
      <font>
        <b/>
        <i val="0"/>
        <color rgb="FF0000FF"/>
      </font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1171575</xdr:colOff>
      <xdr:row>64</xdr:row>
      <xdr:rowOff>0</xdr:rowOff>
    </xdr:from>
    <xdr:to>
      <xdr:col>11</xdr:col>
      <xdr:colOff>495300</xdr:colOff>
      <xdr:row>81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11296650"/>
          <a:ext cx="28289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</xdr:row>
      <xdr:rowOff>57150</xdr:rowOff>
    </xdr:from>
    <xdr:to>
      <xdr:col>2</xdr:col>
      <xdr:colOff>152400</xdr:colOff>
      <xdr:row>5</xdr:row>
      <xdr:rowOff>114300</xdr:rowOff>
    </xdr:to>
    <xdr:pic>
      <xdr:nvPicPr>
        <xdr:cNvPr id="2" name="GM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095375"/>
          <a:ext cx="11620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</xdr:row>
      <xdr:rowOff>180975</xdr:rowOff>
    </xdr:from>
    <xdr:to>
      <xdr:col>13</xdr:col>
      <xdr:colOff>9525</xdr:colOff>
      <xdr:row>2</xdr:row>
      <xdr:rowOff>381000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657225"/>
          <a:ext cx="1219200" cy="200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y.com/world-cup-2006.html" TargetMode="External" /><Relationship Id="rId2" Type="http://schemas.openxmlformats.org/officeDocument/2006/relationships/drawing" Target="../drawings/drawing1.xml" /><Relationship Id="rId3" Type="http://schemas.openxmlformats.org/officeDocument/2006/relationships/image" Target="../media/image4.png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X90"/>
  <sheetViews>
    <sheetView showGridLines="0" tabSelected="1" workbookViewId="0" topLeftCell="A52">
      <selection activeCell="A5" sqref="A5:F6"/>
    </sheetView>
  </sheetViews>
  <sheetFormatPr defaultColWidth="11.421875" defaultRowHeight="12"/>
  <cols>
    <col min="1" max="1" width="8.421875" style="23" customWidth="1"/>
    <col min="2" max="2" width="8.421875" style="17" customWidth="1"/>
    <col min="3" max="3" width="32.28125" style="3" customWidth="1"/>
    <col min="4" max="5" width="4.00390625" style="2" customWidth="1"/>
    <col min="6" max="6" width="32.28125" style="4" customWidth="1"/>
    <col min="7" max="7" width="1.7109375" style="1" customWidth="1"/>
    <col min="8" max="8" width="24.7109375" style="1" customWidth="1"/>
    <col min="9" max="13" width="9.28125" style="2" customWidth="1"/>
    <col min="14" max="14" width="9.28125" style="33" customWidth="1"/>
    <col min="15" max="15" width="7.421875" style="36" hidden="1" customWidth="1"/>
    <col min="16" max="16" width="15.421875" style="37" hidden="1" customWidth="1"/>
    <col min="17" max="22" width="7.8515625" style="38" hidden="1" customWidth="1"/>
    <col min="23" max="23" width="14.7109375" style="38" hidden="1" customWidth="1"/>
    <col min="24" max="24" width="5.8515625" style="37" hidden="1" customWidth="1"/>
    <col min="25" max="25" width="22.7109375" style="37" hidden="1" customWidth="1"/>
    <col min="26" max="30" width="3.421875" style="38" hidden="1" customWidth="1"/>
    <col min="31" max="31" width="4.421875" style="37" hidden="1" customWidth="1"/>
    <col min="32" max="32" width="4.7109375" style="37" hidden="1" customWidth="1"/>
    <col min="33" max="33" width="9.28125" style="37" hidden="1" customWidth="1"/>
    <col min="34" max="34" width="2.421875" style="37" hidden="1" customWidth="1"/>
    <col min="35" max="35" width="24.7109375" style="37" hidden="1" customWidth="1"/>
    <col min="36" max="36" width="2.7109375" style="37" hidden="1" customWidth="1"/>
    <col min="37" max="37" width="19.140625" style="37" hidden="1" customWidth="1"/>
    <col min="38" max="38" width="2.7109375" style="37" hidden="1" customWidth="1"/>
    <col min="39" max="39" width="24.7109375" style="37" hidden="1" customWidth="1"/>
    <col min="40" max="40" width="2.7109375" style="37" hidden="1" customWidth="1"/>
    <col min="41" max="41" width="19.28125" style="37" hidden="1" customWidth="1"/>
    <col min="42" max="42" width="2.7109375" style="37" hidden="1" customWidth="1"/>
    <col min="43" max="46" width="15.7109375" style="37" hidden="1" customWidth="1"/>
    <col min="47" max="47" width="19.28125" style="37" hidden="1" customWidth="1"/>
    <col min="48" max="48" width="2.7109375" style="37" hidden="1" customWidth="1"/>
    <col min="49" max="49" width="19.28125" style="37" hidden="1" customWidth="1"/>
    <col min="50" max="50" width="2.7109375" style="37" hidden="1" customWidth="1"/>
    <col min="51" max="51" width="19.28125" style="37" hidden="1" customWidth="1"/>
    <col min="52" max="52" width="2.7109375" style="37" hidden="1" customWidth="1"/>
    <col min="53" max="53" width="19.28125" style="37" hidden="1" customWidth="1"/>
    <col min="54" max="54" width="2.7109375" style="37" hidden="1" customWidth="1"/>
    <col min="55" max="55" width="13.8515625" style="37" hidden="1" customWidth="1"/>
    <col min="56" max="56" width="5.421875" style="37" hidden="1" customWidth="1"/>
    <col min="57" max="57" width="10.28125" style="37" hidden="1" customWidth="1"/>
    <col min="58" max="58" width="5.140625" style="37" hidden="1" customWidth="1"/>
    <col min="59" max="59" width="9.28125" style="33" customWidth="1"/>
    <col min="60" max="80" width="9.28125" style="1" customWidth="1"/>
    <col min="81" max="102" width="9.28125" style="0" customWidth="1"/>
    <col min="103" max="16384" width="9.28125" style="1" customWidth="1"/>
  </cols>
  <sheetData>
    <row r="1" spans="1:102" ht="30.75" customHeight="1">
      <c r="A1" s="40" t="str">
        <f>INDEX(T,2,language)</f>
        <v>Copa mundial de Fútbol - Alemania 2006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</row>
    <row r="2" spans="5:102" ht="6.75" customHeight="1" thickBot="1">
      <c r="E2" s="1"/>
      <c r="F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</row>
    <row r="3" spans="1:102" ht="30.75" customHeight="1" thickBot="1">
      <c r="A3" s="26" t="str">
        <f>INDEX(T,82,language)</f>
        <v>Last update: 6 Mar 2006</v>
      </c>
      <c r="B3" s="21"/>
      <c r="C3" s="21"/>
      <c r="D3" s="41" t="str">
        <f>CONCATENATE(INDEX(T,83,language),": www.excely.com")</f>
        <v>Visit home page: www.excely.com</v>
      </c>
      <c r="E3" s="42"/>
      <c r="F3" s="42"/>
      <c r="G3" s="42"/>
      <c r="H3" s="42"/>
      <c r="I3" s="42"/>
      <c r="J3" s="43"/>
      <c r="K3" s="21"/>
      <c r="L3" s="21"/>
      <c r="M3" s="27"/>
      <c r="N3" s="35"/>
      <c r="O3" s="37"/>
      <c r="P3" s="36"/>
      <c r="Q3" s="37"/>
      <c r="X3" s="38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02" ht="13.5" thickBot="1">
      <c r="A4" s="24"/>
      <c r="G4" s="2"/>
      <c r="I4" s="1"/>
      <c r="N4" s="34"/>
      <c r="O4" s="37"/>
      <c r="P4" s="36"/>
      <c r="Q4" s="37"/>
      <c r="X4" s="38"/>
      <c r="AH4" s="38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ht="11.25" customHeight="1">
      <c r="A5" s="46" t="str">
        <f>INDEX(T,41,language)</f>
        <v>Primera Ronda</v>
      </c>
      <c r="B5" s="47"/>
      <c r="C5" s="47"/>
      <c r="D5" s="47"/>
      <c r="E5" s="47"/>
      <c r="F5" s="48"/>
      <c r="H5" s="52" t="str">
        <f>CONCATENATE(INDEX(T,40,language)," A")</f>
        <v>Grupo A</v>
      </c>
      <c r="I5" s="44" t="str">
        <f>INDEX(T,35,language)</f>
        <v>PG</v>
      </c>
      <c r="J5" s="44" t="str">
        <f>INDEX(T,36,language)</f>
        <v>PE</v>
      </c>
      <c r="K5" s="44" t="str">
        <f>INDEX(T,37,language)</f>
        <v>PP</v>
      </c>
      <c r="L5" s="44" t="str">
        <f>INDEX(T,38,language)</f>
        <v>Gf - Gv</v>
      </c>
      <c r="M5" s="54" t="str">
        <f>INDEX(T,39,language)</f>
        <v>Pts</v>
      </c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</row>
    <row r="6" spans="1:102" ht="13.5" thickBot="1">
      <c r="A6" s="49"/>
      <c r="B6" s="50"/>
      <c r="C6" s="50"/>
      <c r="D6" s="50"/>
      <c r="E6" s="50"/>
      <c r="F6" s="51"/>
      <c r="H6" s="53"/>
      <c r="I6" s="45"/>
      <c r="J6" s="45"/>
      <c r="K6" s="45"/>
      <c r="L6" s="45"/>
      <c r="M6" s="55"/>
      <c r="O6" s="36" t="s">
        <v>6</v>
      </c>
      <c r="P6" s="36"/>
      <c r="Q6" s="36" t="s">
        <v>7</v>
      </c>
      <c r="R6" s="36" t="s">
        <v>8</v>
      </c>
      <c r="S6" s="36" t="s">
        <v>9</v>
      </c>
      <c r="T6" s="36" t="s">
        <v>10</v>
      </c>
      <c r="U6" s="36" t="s">
        <v>11</v>
      </c>
      <c r="V6" s="36" t="s">
        <v>5</v>
      </c>
      <c r="W6" s="36" t="s">
        <v>51</v>
      </c>
      <c r="BC6" s="39" t="s">
        <v>61</v>
      </c>
      <c r="BD6" s="37">
        <f>VLOOKUP(BC6,BC7:BD30,2,FALSE)</f>
        <v>-3</v>
      </c>
      <c r="BE6" s="39" t="s">
        <v>182</v>
      </c>
      <c r="BF6" s="37">
        <f>VLOOKUP(BE6,BE7:BF14,2,FALSE)</f>
        <v>4</v>
      </c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</row>
    <row r="7" spans="1:102" ht="13.5" customHeight="1" thickBot="1">
      <c r="A7" s="22" t="str">
        <f>CONCATENATE(9+IF(GMT&gt;6,1,0)," ",INDEX(T,80,language))</f>
        <v>9 Jun</v>
      </c>
      <c r="B7" s="18">
        <f>TIME(17+GMT,0,0)</f>
        <v>0.5833333333333334</v>
      </c>
      <c r="C7" s="5" t="str">
        <f>P7</f>
        <v>Alemania</v>
      </c>
      <c r="D7" s="20"/>
      <c r="E7" s="20"/>
      <c r="F7" s="6" t="str">
        <f>P8</f>
        <v>Costa Rica</v>
      </c>
      <c r="H7" s="7" t="str">
        <f>VLOOKUP(4,O7:V10,2,FALSE)</f>
        <v>Alemania</v>
      </c>
      <c r="I7" s="8">
        <f>VLOOKUP(4,O7:V10,3,FALSE)</f>
        <v>0</v>
      </c>
      <c r="J7" s="8">
        <f>VLOOKUP(4,O7:V10,4,FALSE)</f>
        <v>0</v>
      </c>
      <c r="K7" s="8">
        <f>VLOOKUP(4,O7:V10,5,FALSE)</f>
        <v>0</v>
      </c>
      <c r="L7" s="8" t="str">
        <f>CONCATENATE(VLOOKUP(4,O7:V10,6,FALSE)," - ",VLOOKUP(4,O7:V10,7,FALSE))</f>
        <v>0 - 0</v>
      </c>
      <c r="M7" s="9">
        <f>VLOOKUP(4,O7:V10,8,FALSE)</f>
        <v>0</v>
      </c>
      <c r="O7" s="36">
        <f>IF(W7&gt;W7,1,0)+IF(W7&gt;W8,1,0)+IF(W7&gt;W9,1,0)+IF(W7&gt;W10,1,0)+1</f>
        <v>4</v>
      </c>
      <c r="P7" s="37" t="str">
        <f>INDEX(T,3,language)</f>
        <v>Alemania</v>
      </c>
      <c r="Q7" s="38">
        <f>COUNTIF(AQ7:AR54,CONCATENATE(P7,"_win"))</f>
        <v>0</v>
      </c>
      <c r="R7" s="38">
        <f>COUNTIF(AQ7:AR54,CONCATENATE(P7,"_draw"))</f>
        <v>0</v>
      </c>
      <c r="S7" s="38">
        <f>COUNTIF(AQ7:AR54,CONCATENATE(P7,"_lose"))</f>
        <v>0</v>
      </c>
      <c r="T7" s="38">
        <f>SUMIF(AM7:AM54,CONCATENATE("=",P7),AN7:AN54)+SUMIF(AI7:AI54,CONCATENATE("=",P7),AJ7:AJ54)</f>
        <v>0</v>
      </c>
      <c r="U7" s="38">
        <f>SUMIF(AO7:AO54,CONCATENATE("=",P7),AP7:AP54)+SUMIF(AK7:AK54,CONCATENATE("=",P7),AL7:AL54)</f>
        <v>0</v>
      </c>
      <c r="V7" s="38">
        <f>Q7*3+R7</f>
        <v>0</v>
      </c>
      <c r="W7" s="38">
        <f>0.4+T7+(T7-U7)*100+Q7*1000+V7*10000000+AF7*10000</f>
        <v>0.4</v>
      </c>
      <c r="X7" s="37">
        <f>IF(COUNTIF(V7:V10,CONCATENATE("=",V7))=1,0,COUNTIF(V7:V10,CONCATENATE("=",V7)))*V7</f>
        <v>0</v>
      </c>
      <c r="Y7" s="37" t="str">
        <f>IF(SUM(Q7:S10)=12,H7,INDEX(T,48,language))</f>
        <v>Primero del Grupo A</v>
      </c>
      <c r="Z7" s="38">
        <f>IF(X7=X11,V7,IF(X8=X11,V8,IF(X9=X11,V9,V10)))</f>
        <v>0</v>
      </c>
      <c r="AA7" s="38">
        <f>IF(V7=Z7,1,0)</f>
        <v>1</v>
      </c>
      <c r="AB7" s="38">
        <f>COUNTIF(AS7:AT54,CONCATENATE(P7,"_win"))</f>
        <v>0</v>
      </c>
      <c r="AC7" s="38">
        <f>SUMIF(AY7:AY54,CONCATENATE("=",P7),AZ7:AZ54)+SUMIF(AU7:AU54,CONCATENATE("=",P7),AV7:AV54)</f>
        <v>0</v>
      </c>
      <c r="AD7" s="38">
        <f>SUMIF(BA7:BA54,CONCATENATE("=",P7),BB7:BB54)+SUMIF(AW7:AW54,CONCATENATE("=",P7),AX7:AX54)</f>
        <v>0</v>
      </c>
      <c r="AE7" s="37">
        <f>300*AB7+(AC7-AD7)*10+AC7</f>
        <v>0</v>
      </c>
      <c r="AF7" s="37">
        <f>IF(AE7&gt;0,AE7,0)</f>
        <v>0</v>
      </c>
      <c r="AH7" s="37">
        <f>VLOOKUP(F7,P7:AA59,12,FALSE)+VLOOKUP(C7,P7:AA59,12,FALSE)</f>
        <v>2</v>
      </c>
      <c r="AI7" s="37" t="str">
        <f aca="true" t="shared" si="0" ref="AI7:AI54">C7</f>
        <v>Alemania</v>
      </c>
      <c r="AJ7" s="37">
        <f aca="true" t="shared" si="1" ref="AJ7:AJ54">D7</f>
        <v>0</v>
      </c>
      <c r="AK7" s="37" t="str">
        <f aca="true" t="shared" si="2" ref="AK7:AK54">C7</f>
        <v>Alemania</v>
      </c>
      <c r="AL7" s="37">
        <f aca="true" t="shared" si="3" ref="AL7:AL54">E7</f>
        <v>0</v>
      </c>
      <c r="AM7" s="37" t="str">
        <f aca="true" t="shared" si="4" ref="AM7:AM54">F7</f>
        <v>Costa Rica</v>
      </c>
      <c r="AN7" s="37">
        <f aca="true" t="shared" si="5" ref="AN7:AN54">E7</f>
        <v>0</v>
      </c>
      <c r="AO7" s="37" t="str">
        <f aca="true" t="shared" si="6" ref="AO7:AO54">F7</f>
        <v>Costa Rica</v>
      </c>
      <c r="AP7" s="37">
        <f aca="true" t="shared" si="7" ref="AP7:AP54">D7</f>
        <v>0</v>
      </c>
      <c r="AQ7" s="37">
        <f aca="true" t="shared" si="8" ref="AQ7:AQ54">IF(D7="","",IF(E7="","",IF(D7&gt;E7,CONCATENATE(C7,"_win"),IF(D7&lt;E7,CONCATENATE(C7,"_lose"),CONCATENATE(C7,"_draw")))))</f>
      </c>
      <c r="AR7" s="37">
        <f aca="true" t="shared" si="9" ref="AR7:AR54">IF(D7="","",IF(E7="","",IF(D7&gt;E7,CONCATENATE(F7,"_lose"),IF(D7&lt;E7,CONCATENATE(F7,"_win"),CONCATENATE(F7,"_draw")))))</f>
      </c>
      <c r="AS7" s="37">
        <f aca="true" t="shared" si="10" ref="AS7:AS54">IF(AH7=2,IF(D7="","",IF(E7="","",IF(D7&gt;E7,CONCATENATE(C7,"_win"),IF(D7&lt;E7,CONCATENATE(C7,"_lose"),CONCATENATE(C7,"_draw"))))),"")</f>
      </c>
      <c r="AT7" s="37">
        <f aca="true" t="shared" si="11" ref="AT7:AT54">IF(AH7=2,IF(D7="","",IF(E7="","",IF(D7&gt;E7,CONCATENATE(F7,"_lose"),IF(D7&lt;E7,CONCATENATE(F7,"_win"),CONCATENATE(F7,"_draw"))))),"")</f>
      </c>
      <c r="AU7" s="37" t="str">
        <f aca="true" t="shared" si="12" ref="AU7:AU54">IF(AH7=2,AI7,"")</f>
        <v>Alemania</v>
      </c>
      <c r="AV7" s="37">
        <f aca="true" t="shared" si="13" ref="AV7:AV54">IF(AH7=2,AJ7,"")</f>
        <v>0</v>
      </c>
      <c r="AW7" s="37" t="str">
        <f aca="true" t="shared" si="14" ref="AW7:AW54">IF(AH7=2,AK7,"")</f>
        <v>Alemania</v>
      </c>
      <c r="AX7" s="37">
        <f aca="true" t="shared" si="15" ref="AX7:AX54">IF(AH7=2,AL7,"")</f>
        <v>0</v>
      </c>
      <c r="AY7" s="37" t="str">
        <f aca="true" t="shared" si="16" ref="AY7:AY54">IF(AH7=2,AM7,"")</f>
        <v>Costa Rica</v>
      </c>
      <c r="AZ7" s="37">
        <f aca="true" t="shared" si="17" ref="AZ7:AZ54">IF(AH7=2,AN7,"")</f>
        <v>0</v>
      </c>
      <c r="BA7" s="37" t="str">
        <f aca="true" t="shared" si="18" ref="BA7:BA54">IF(AH7=2,AO7,"")</f>
        <v>Costa Rica</v>
      </c>
      <c r="BB7" s="37">
        <f aca="true" t="shared" si="19" ref="BB7:BB54">IF(AH7=2,AP7,"")</f>
        <v>0</v>
      </c>
      <c r="BC7" s="37" t="s">
        <v>52</v>
      </c>
      <c r="BD7" s="37">
        <v>-11</v>
      </c>
      <c r="BE7" s="37" t="s">
        <v>76</v>
      </c>
      <c r="BF7" s="37">
        <v>1</v>
      </c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</row>
    <row r="8" spans="1:102" ht="13.5" customHeight="1" thickBot="1">
      <c r="A8" s="22" t="str">
        <f>CONCATENATE(9+IF(GMT&gt;3,1,0)," ",INDEX(T,80,language))</f>
        <v>9 Jun</v>
      </c>
      <c r="B8" s="18">
        <f>TIME(20+GMT,0,0)</f>
        <v>0.7083333333333334</v>
      </c>
      <c r="C8" s="10" t="str">
        <f>P9</f>
        <v>Polonia</v>
      </c>
      <c r="D8" s="20"/>
      <c r="E8" s="20"/>
      <c r="F8" s="6" t="str">
        <f>P10</f>
        <v>Ecuador</v>
      </c>
      <c r="H8" s="11" t="str">
        <f>VLOOKUP(3,O7:V10,2,FALSE)</f>
        <v>Costa Rica</v>
      </c>
      <c r="I8" s="12">
        <f>VLOOKUP(3,O7:V10,3,FALSE)</f>
        <v>0</v>
      </c>
      <c r="J8" s="12">
        <f>VLOOKUP(3,O7:V10,4,FALSE)</f>
        <v>0</v>
      </c>
      <c r="K8" s="12">
        <f>VLOOKUP(3,O7:V10,5,FALSE)</f>
        <v>0</v>
      </c>
      <c r="L8" s="12" t="str">
        <f>CONCATENATE(VLOOKUP(3,O7:V10,6,FALSE)," - ",VLOOKUP(3,O7:V10,7,FALSE))</f>
        <v>0 - 0</v>
      </c>
      <c r="M8" s="13">
        <f>VLOOKUP(3,O7:V10,8,FALSE)</f>
        <v>0</v>
      </c>
      <c r="O8" s="36">
        <f>IF(W8&gt;W7,1,0)+IF(W8&gt;W8,1,0)+IF(W8&gt;W9,1,0)+IF(W8&gt;W10,1,0)+1</f>
        <v>3</v>
      </c>
      <c r="P8" s="37" t="str">
        <f>INDEX(T,4,language)</f>
        <v>Costa Rica</v>
      </c>
      <c r="Q8" s="38">
        <f>COUNTIF(AQ7:AR54,CONCATENATE(P8,"_win"))</f>
        <v>0</v>
      </c>
      <c r="R8" s="38">
        <f>COUNTIF(AQ7:AR54,CONCATENATE(P8,"_draw"))</f>
        <v>0</v>
      </c>
      <c r="S8" s="38">
        <f>COUNTIF(AQ7:AR54,CONCATENATE(P8,"_lose"))</f>
        <v>0</v>
      </c>
      <c r="T8" s="38">
        <f>SUMIF(AM7:AM54,CONCATENATE("=",P8),AN7:AN54)+SUMIF(AI7:AI54,CONCATENATE("=",P8),AJ7:AJ54)</f>
        <v>0</v>
      </c>
      <c r="U8" s="38">
        <f>SUMIF(AO7:AO54,CONCATENATE("=",P8),AP7:AP54)+SUMIF(AK7:AK54,CONCATENATE("=",P8),AL7:AL54)</f>
        <v>0</v>
      </c>
      <c r="V8" s="38">
        <f>Q8*3+R8</f>
        <v>0</v>
      </c>
      <c r="W8" s="38">
        <f>0.3+T8+(T8-U8)*100+Q8*1000+V8*10000000+AF8*10000</f>
        <v>0.3</v>
      </c>
      <c r="X8" s="37">
        <f>IF(COUNTIF(V7:V10,CONCATENATE("=",V8))=1,0,COUNTIF(V7:V10,CONCATENATE("=",V8)))*V8</f>
        <v>0</v>
      </c>
      <c r="Y8" s="37" t="str">
        <f>IF(SUM(Q7:S10)=12,H8,INDEX(T,49,language))</f>
        <v>Segundo del Grupo B</v>
      </c>
      <c r="AA8" s="38">
        <f>IF(V8=Z7,1,0)</f>
        <v>1</v>
      </c>
      <c r="AB8" s="38">
        <f>COUNTIF(AS7:AT54,CONCATENATE(P8,"_win"))</f>
        <v>0</v>
      </c>
      <c r="AC8" s="38">
        <f>SUMIF(AY7:AY54,CONCATENATE("=",P8),AZ7:AZ54)+SUMIF(AU7:AU54,CONCATENATE("=",P8),AV7:AV54)</f>
        <v>0</v>
      </c>
      <c r="AD8" s="38">
        <f>SUMIF(BA7:BA54,CONCATENATE("=",P8),BB7:BB54)+SUMIF(AW7:AW54,CONCATENATE("=",P8),AX7:AX54)</f>
        <v>0</v>
      </c>
      <c r="AE8" s="37">
        <f>300*AB8+(AC8-AD8)*10+AC8</f>
        <v>0</v>
      </c>
      <c r="AF8" s="37">
        <f>IF(AE8&gt;0,AE8,0)</f>
        <v>0</v>
      </c>
      <c r="AH8" s="37">
        <f>VLOOKUP(F8,P7:AA59,12,FALSE)+VLOOKUP(C8,P7:AA59,12,FALSE)</f>
        <v>2</v>
      </c>
      <c r="AI8" s="37" t="str">
        <f t="shared" si="0"/>
        <v>Polonia</v>
      </c>
      <c r="AJ8" s="37">
        <f t="shared" si="1"/>
        <v>0</v>
      </c>
      <c r="AK8" s="37" t="str">
        <f t="shared" si="2"/>
        <v>Polonia</v>
      </c>
      <c r="AL8" s="37">
        <f t="shared" si="3"/>
        <v>0</v>
      </c>
      <c r="AM8" s="37" t="str">
        <f t="shared" si="4"/>
        <v>Ecuador</v>
      </c>
      <c r="AN8" s="37">
        <f t="shared" si="5"/>
        <v>0</v>
      </c>
      <c r="AO8" s="37" t="str">
        <f t="shared" si="6"/>
        <v>Ecuador</v>
      </c>
      <c r="AP8" s="37">
        <f t="shared" si="7"/>
        <v>0</v>
      </c>
      <c r="AQ8" s="37">
        <f t="shared" si="8"/>
      </c>
      <c r="AR8" s="37">
        <f t="shared" si="9"/>
      </c>
      <c r="AS8" s="37">
        <f t="shared" si="10"/>
      </c>
      <c r="AT8" s="37">
        <f t="shared" si="11"/>
      </c>
      <c r="AU8" s="37" t="str">
        <f t="shared" si="12"/>
        <v>Polonia</v>
      </c>
      <c r="AV8" s="37">
        <f t="shared" si="13"/>
        <v>0</v>
      </c>
      <c r="AW8" s="37" t="str">
        <f t="shared" si="14"/>
        <v>Polonia</v>
      </c>
      <c r="AX8" s="37">
        <f t="shared" si="15"/>
        <v>0</v>
      </c>
      <c r="AY8" s="37" t="str">
        <f t="shared" si="16"/>
        <v>Ecuador</v>
      </c>
      <c r="AZ8" s="37">
        <f t="shared" si="17"/>
        <v>0</v>
      </c>
      <c r="BA8" s="37" t="str">
        <f t="shared" si="18"/>
        <v>Ecuador</v>
      </c>
      <c r="BB8" s="37">
        <f t="shared" si="19"/>
        <v>0</v>
      </c>
      <c r="BC8" s="37" t="s">
        <v>53</v>
      </c>
      <c r="BD8" s="37">
        <v>-10</v>
      </c>
      <c r="BE8" s="37" t="s">
        <v>77</v>
      </c>
      <c r="BF8" s="37">
        <v>2</v>
      </c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</row>
    <row r="9" spans="1:102" ht="13.5" customHeight="1" thickBot="1">
      <c r="A9" s="22" t="str">
        <f>CONCATENATE(10+IF(GMT&gt;9,1,0)," ",INDEX(T,80,language))</f>
        <v>10 Jun</v>
      </c>
      <c r="B9" s="18">
        <f>TIME(14+GMT,0,0)</f>
        <v>0.4583333333333333</v>
      </c>
      <c r="C9" s="10" t="str">
        <f>P14</f>
        <v>Inglaterra</v>
      </c>
      <c r="D9" s="20"/>
      <c r="E9" s="20"/>
      <c r="F9" s="6" t="str">
        <f>P15</f>
        <v>Paraguay</v>
      </c>
      <c r="H9" s="11" t="str">
        <f>VLOOKUP(2,O7:V10,2,FALSE)</f>
        <v>Polonia</v>
      </c>
      <c r="I9" s="12">
        <f>VLOOKUP(2,O7:V10,3,FALSE)</f>
        <v>0</v>
      </c>
      <c r="J9" s="12">
        <f>VLOOKUP(2,O7:V10,4,FALSE)</f>
        <v>0</v>
      </c>
      <c r="K9" s="12">
        <f>VLOOKUP(2,O7:V10,5,FALSE)</f>
        <v>0</v>
      </c>
      <c r="L9" s="12" t="str">
        <f>CONCATENATE(VLOOKUP(2,O7:V10,6,FALSE)," - ",VLOOKUP(2,O7:V10,7,FALSE))</f>
        <v>0 - 0</v>
      </c>
      <c r="M9" s="13">
        <f>VLOOKUP(2,O7:V10,8,FALSE)</f>
        <v>0</v>
      </c>
      <c r="O9" s="36">
        <f>IF(W9&gt;W7,1,0)+IF(W9&gt;W8,1,0)+IF(W9&gt;W9,1,0)+IF(W9&gt;W10,1,0)+1</f>
        <v>2</v>
      </c>
      <c r="P9" s="37" t="str">
        <f>INDEX(T,5,language)</f>
        <v>Polonia</v>
      </c>
      <c r="Q9" s="38">
        <f>COUNTIF(AQ7:AR54,CONCATENATE(P9,"_win"))</f>
        <v>0</v>
      </c>
      <c r="R9" s="38">
        <f>COUNTIF(AQ7:AR54,CONCATENATE(P9,"_draw"))</f>
        <v>0</v>
      </c>
      <c r="S9" s="38">
        <f>COUNTIF(AQ7:AR54,CONCATENATE(P9,"_lose"))</f>
        <v>0</v>
      </c>
      <c r="T9" s="38">
        <f>SUMIF(AM7:AM54,CONCATENATE("=",P9),AN7:AN54)+SUMIF(AI7:AI54,CONCATENATE("=",P9),AJ7:AJ54)</f>
        <v>0</v>
      </c>
      <c r="U9" s="38">
        <f>SUMIF(AO7:AO54,CONCATENATE("=",P9),AP7:AP54)+SUMIF(AK7:AK54,CONCATENATE("=",P9),AL7:AL54)</f>
        <v>0</v>
      </c>
      <c r="V9" s="38">
        <f>Q9*3+R9</f>
        <v>0</v>
      </c>
      <c r="W9" s="38">
        <f>0.2+T9+(T9-U9)*100+Q9*1000+V9*10000000+AF9*10000</f>
        <v>0.2</v>
      </c>
      <c r="X9" s="37">
        <f>IF(COUNTIF(V7:V10,CONCATENATE("=",V9))=1,0,COUNTIF(V7:V10,CONCATENATE("=",V9)))*V9</f>
        <v>0</v>
      </c>
      <c r="AA9" s="38">
        <f>IF(V9=Z7,1,0)</f>
        <v>1</v>
      </c>
      <c r="AB9" s="38">
        <f>COUNTIF(AS7:AT54,CONCATENATE(P9,"_win"))</f>
        <v>0</v>
      </c>
      <c r="AC9" s="38">
        <f>SUMIF(AY7:AY54,CONCATENATE("=",P9),AZ7:AZ54)+SUMIF(AU7:AU54,CONCATENATE("=",P9),AV7:AV54)</f>
        <v>0</v>
      </c>
      <c r="AD9" s="38">
        <f>SUMIF(BA7:BA54,CONCATENATE("=",P9),BB7:BB54)+SUMIF(AW7:AW54,CONCATENATE("=",P9),AX7:AX54)</f>
        <v>0</v>
      </c>
      <c r="AE9" s="37">
        <f>300*AB9+(AC9-AD9)*10+AC9</f>
        <v>0</v>
      </c>
      <c r="AF9" s="37">
        <f>IF(AE9&gt;0,AE9,0)</f>
        <v>0</v>
      </c>
      <c r="AH9" s="37">
        <f>VLOOKUP(F9,P7:AA59,12,FALSE)+VLOOKUP(C9,P7:AA59,12,FALSE)</f>
        <v>2</v>
      </c>
      <c r="AI9" s="37" t="str">
        <f t="shared" si="0"/>
        <v>Inglaterra</v>
      </c>
      <c r="AJ9" s="37">
        <f t="shared" si="1"/>
        <v>0</v>
      </c>
      <c r="AK9" s="37" t="str">
        <f t="shared" si="2"/>
        <v>Inglaterra</v>
      </c>
      <c r="AL9" s="37">
        <f t="shared" si="3"/>
        <v>0</v>
      </c>
      <c r="AM9" s="37" t="str">
        <f t="shared" si="4"/>
        <v>Paraguay</v>
      </c>
      <c r="AN9" s="37">
        <f t="shared" si="5"/>
        <v>0</v>
      </c>
      <c r="AO9" s="37" t="str">
        <f t="shared" si="6"/>
        <v>Paraguay</v>
      </c>
      <c r="AP9" s="37">
        <f t="shared" si="7"/>
        <v>0</v>
      </c>
      <c r="AQ9" s="37">
        <f t="shared" si="8"/>
      </c>
      <c r="AR9" s="37">
        <f t="shared" si="9"/>
      </c>
      <c r="AS9" s="37">
        <f t="shared" si="10"/>
      </c>
      <c r="AT9" s="37">
        <f t="shared" si="11"/>
      </c>
      <c r="AU9" s="37" t="str">
        <f t="shared" si="12"/>
        <v>Inglaterra</v>
      </c>
      <c r="AV9" s="37">
        <f t="shared" si="13"/>
        <v>0</v>
      </c>
      <c r="AW9" s="37" t="str">
        <f t="shared" si="14"/>
        <v>Inglaterra</v>
      </c>
      <c r="AX9" s="37">
        <f t="shared" si="15"/>
        <v>0</v>
      </c>
      <c r="AY9" s="37" t="str">
        <f t="shared" si="16"/>
        <v>Paraguay</v>
      </c>
      <c r="AZ9" s="37">
        <f t="shared" si="17"/>
        <v>0</v>
      </c>
      <c r="BA9" s="37" t="str">
        <f t="shared" si="18"/>
        <v>Paraguay</v>
      </c>
      <c r="BB9" s="37">
        <f t="shared" si="19"/>
        <v>0</v>
      </c>
      <c r="BC9" s="37" t="s">
        <v>54</v>
      </c>
      <c r="BD9" s="37">
        <v>-9</v>
      </c>
      <c r="BE9" s="37" t="s">
        <v>181</v>
      </c>
      <c r="BF9" s="37">
        <v>3</v>
      </c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13.5" customHeight="1" thickBot="1">
      <c r="A10" s="22" t="str">
        <f>CONCATENATE(10+IF(GMT&gt;6,1,0)," ",INDEX(T,80,language))</f>
        <v>10 Jun</v>
      </c>
      <c r="B10" s="18">
        <f>TIME(17+GMT,0,0)</f>
        <v>0.5833333333333334</v>
      </c>
      <c r="C10" s="10" t="str">
        <f>P16</f>
        <v>Trinidad y Tobago</v>
      </c>
      <c r="D10" s="20"/>
      <c r="E10" s="20"/>
      <c r="F10" s="6" t="str">
        <f>P17</f>
        <v>Suecia</v>
      </c>
      <c r="H10" s="14" t="str">
        <f>VLOOKUP(1,O7:V10,2,FALSE)</f>
        <v>Ecuador</v>
      </c>
      <c r="I10" s="15">
        <f>VLOOKUP(1,O7:V10,3,FALSE)</f>
        <v>0</v>
      </c>
      <c r="J10" s="15">
        <f>VLOOKUP(1,O7:V10,4,FALSE)</f>
        <v>0</v>
      </c>
      <c r="K10" s="15">
        <f>VLOOKUP(1,O7:V10,5,FALSE)</f>
        <v>0</v>
      </c>
      <c r="L10" s="15" t="str">
        <f>CONCATENATE(VLOOKUP(1,O7:V10,6,FALSE)," - ",VLOOKUP(1,O7:V10,7,FALSE))</f>
        <v>0 - 0</v>
      </c>
      <c r="M10" s="16">
        <f>VLOOKUP(1,O7:V10,8,FALSE)</f>
        <v>0</v>
      </c>
      <c r="O10" s="36">
        <f>IF(W10&gt;W7,1,0)+IF(W10&gt;W8,1,0)+IF(W10&gt;W9,1,0)+IF(W10&gt;W10,1,0)+1</f>
        <v>1</v>
      </c>
      <c r="P10" s="37" t="str">
        <f>INDEX(T,6,language)</f>
        <v>Ecuador</v>
      </c>
      <c r="Q10" s="38">
        <f>COUNTIF(AQ7:AR54,CONCATENATE(P10,"_win"))</f>
        <v>0</v>
      </c>
      <c r="R10" s="38">
        <f>COUNTIF(AQ7:AR54,CONCATENATE(P10,"_draw"))</f>
        <v>0</v>
      </c>
      <c r="S10" s="38">
        <f>COUNTIF(AQ7:AR54,CONCATENATE(P10,"_lose"))</f>
        <v>0</v>
      </c>
      <c r="T10" s="38">
        <f>SUMIF(AM7:AM54,CONCATENATE("=",P10),AN7:AN54)+SUMIF(AI7:AI54,CONCATENATE("=",P10),AJ7:AJ54)</f>
        <v>0</v>
      </c>
      <c r="U10" s="38">
        <f>SUMIF(AO7:AO54,CONCATENATE("=",P10),AP7:AP54)+SUMIF(AK7:AK54,CONCATENATE("=",P10),AL7:AL54)</f>
        <v>0</v>
      </c>
      <c r="V10" s="38">
        <f>Q10*3+R10</f>
        <v>0</v>
      </c>
      <c r="W10" s="38">
        <f>0.1+T10+(T10-U10)*100+Q10*1000+V10*10000000+AF10*10000</f>
        <v>0.1</v>
      </c>
      <c r="X10" s="37">
        <f>IF(COUNTIF(V7:V10,CONCATENATE("=",V10))=1,0,COUNTIF(V7:V10,CONCATENATE("=",V10)))*V10</f>
        <v>0</v>
      </c>
      <c r="AA10" s="38">
        <f>IF(V10=Z7,1,0)</f>
        <v>1</v>
      </c>
      <c r="AB10" s="38">
        <f>COUNTIF(AS7:AT54,CONCATENATE(P10,"_win"))</f>
        <v>0</v>
      </c>
      <c r="AC10" s="38">
        <f>SUMIF(AY7:AY54,CONCATENATE("=",P10),AZ7:AZ54)+SUMIF(AU7:AU54,CONCATENATE("=",P10),AV7:AV54)</f>
        <v>0</v>
      </c>
      <c r="AD10" s="38">
        <f>SUMIF(BA7:BA54,CONCATENATE("=",P10),BB7:BB54)+SUMIF(AW7:AW54,CONCATENATE("=",P10),AX7:AX54)</f>
        <v>0</v>
      </c>
      <c r="AE10" s="37">
        <f>300*AB10+(AC10-AD10)*10+AC10</f>
        <v>0</v>
      </c>
      <c r="AF10" s="37">
        <f>IF(AE10&gt;0,AE10,0)</f>
        <v>0</v>
      </c>
      <c r="AH10" s="37">
        <f>VLOOKUP(F10,P7:AA59,12,FALSE)+VLOOKUP(C10,P7:AA59,12,FALSE)</f>
        <v>2</v>
      </c>
      <c r="AI10" s="37" t="str">
        <f t="shared" si="0"/>
        <v>Trinidad y Tobago</v>
      </c>
      <c r="AJ10" s="37">
        <f t="shared" si="1"/>
        <v>0</v>
      </c>
      <c r="AK10" s="37" t="str">
        <f t="shared" si="2"/>
        <v>Trinidad y Tobago</v>
      </c>
      <c r="AL10" s="37">
        <f t="shared" si="3"/>
        <v>0</v>
      </c>
      <c r="AM10" s="37" t="str">
        <f t="shared" si="4"/>
        <v>Suecia</v>
      </c>
      <c r="AN10" s="37">
        <f t="shared" si="5"/>
        <v>0</v>
      </c>
      <c r="AO10" s="37" t="str">
        <f t="shared" si="6"/>
        <v>Suecia</v>
      </c>
      <c r="AP10" s="37">
        <f t="shared" si="7"/>
        <v>0</v>
      </c>
      <c r="AQ10" s="37">
        <f t="shared" si="8"/>
      </c>
      <c r="AR10" s="37">
        <f t="shared" si="9"/>
      </c>
      <c r="AS10" s="37">
        <f t="shared" si="10"/>
      </c>
      <c r="AT10" s="37">
        <f t="shared" si="11"/>
      </c>
      <c r="AU10" s="37" t="str">
        <f t="shared" si="12"/>
        <v>Trinidad y Tobago</v>
      </c>
      <c r="AV10" s="37">
        <f t="shared" si="13"/>
        <v>0</v>
      </c>
      <c r="AW10" s="37" t="str">
        <f t="shared" si="14"/>
        <v>Trinidad y Tobago</v>
      </c>
      <c r="AX10" s="37">
        <f t="shared" si="15"/>
        <v>0</v>
      </c>
      <c r="AY10" s="37" t="str">
        <f t="shared" si="16"/>
        <v>Suecia</v>
      </c>
      <c r="AZ10" s="37">
        <f t="shared" si="17"/>
        <v>0</v>
      </c>
      <c r="BA10" s="37" t="str">
        <f t="shared" si="18"/>
        <v>Suecia</v>
      </c>
      <c r="BB10" s="37">
        <f t="shared" si="19"/>
        <v>0</v>
      </c>
      <c r="BC10" s="37" t="s">
        <v>55</v>
      </c>
      <c r="BD10" s="37">
        <v>-8</v>
      </c>
      <c r="BE10" s="37" t="s">
        <v>182</v>
      </c>
      <c r="BF10" s="37">
        <v>4</v>
      </c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</row>
    <row r="11" spans="1:102" ht="13.5" customHeight="1" thickBot="1">
      <c r="A11" s="22" t="str">
        <f>CONCATENATE(10+IF(GMT&gt;3,1,0)," ",INDEX(T,80,language))</f>
        <v>10 Jun</v>
      </c>
      <c r="B11" s="18">
        <f>TIME(20+GMT,0,0)</f>
        <v>0.7083333333333334</v>
      </c>
      <c r="C11" s="10" t="str">
        <f>P21</f>
        <v>Argentina</v>
      </c>
      <c r="D11" s="20"/>
      <c r="E11" s="20"/>
      <c r="F11" s="6" t="str">
        <f>P22</f>
        <v>Costa de Marfil</v>
      </c>
      <c r="X11" s="37">
        <f>MAX(X7:X10)</f>
        <v>0</v>
      </c>
      <c r="AH11" s="37">
        <f>VLOOKUP(F11,P7:AA59,12,FALSE)+VLOOKUP(C11,P7:AA59,12,FALSE)</f>
        <v>2</v>
      </c>
      <c r="AI11" s="37" t="str">
        <f t="shared" si="0"/>
        <v>Argentina</v>
      </c>
      <c r="AJ11" s="37">
        <f t="shared" si="1"/>
        <v>0</v>
      </c>
      <c r="AK11" s="37" t="str">
        <f t="shared" si="2"/>
        <v>Argentina</v>
      </c>
      <c r="AL11" s="37">
        <f t="shared" si="3"/>
        <v>0</v>
      </c>
      <c r="AM11" s="37" t="str">
        <f t="shared" si="4"/>
        <v>Costa de Marfil</v>
      </c>
      <c r="AN11" s="37">
        <f t="shared" si="5"/>
        <v>0</v>
      </c>
      <c r="AO11" s="37" t="str">
        <f t="shared" si="6"/>
        <v>Costa de Marfil</v>
      </c>
      <c r="AP11" s="37">
        <f t="shared" si="7"/>
        <v>0</v>
      </c>
      <c r="AQ11" s="37">
        <f t="shared" si="8"/>
      </c>
      <c r="AR11" s="37">
        <f t="shared" si="9"/>
      </c>
      <c r="AS11" s="37">
        <f t="shared" si="10"/>
      </c>
      <c r="AT11" s="37">
        <f t="shared" si="11"/>
      </c>
      <c r="AU11" s="37" t="str">
        <f t="shared" si="12"/>
        <v>Argentina</v>
      </c>
      <c r="AV11" s="37">
        <f t="shared" si="13"/>
        <v>0</v>
      </c>
      <c r="AW11" s="37" t="str">
        <f t="shared" si="14"/>
        <v>Argentina</v>
      </c>
      <c r="AX11" s="37">
        <f t="shared" si="15"/>
        <v>0</v>
      </c>
      <c r="AY11" s="37" t="str">
        <f t="shared" si="16"/>
        <v>Costa de Marfil</v>
      </c>
      <c r="AZ11" s="37">
        <f t="shared" si="17"/>
        <v>0</v>
      </c>
      <c r="BA11" s="37" t="str">
        <f t="shared" si="18"/>
        <v>Costa de Marfil</v>
      </c>
      <c r="BB11" s="37">
        <f t="shared" si="19"/>
        <v>0</v>
      </c>
      <c r="BC11" s="37" t="s">
        <v>57</v>
      </c>
      <c r="BD11" s="37">
        <v>-7</v>
      </c>
      <c r="BE11" s="37" t="s">
        <v>183</v>
      </c>
      <c r="BF11" s="37">
        <v>5</v>
      </c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</row>
    <row r="12" spans="1:102" ht="13.5" customHeight="1" thickBot="1">
      <c r="A12" s="22" t="str">
        <f>CONCATENATE(11+IF(GMT&gt;9,1,0)," ",INDEX(T,80,language))</f>
        <v>11 Jun</v>
      </c>
      <c r="B12" s="18">
        <f>TIME(14+GMT,0,0)</f>
        <v>0.4583333333333333</v>
      </c>
      <c r="C12" s="10" t="str">
        <f>P23</f>
        <v>Serbia y Montenegro</v>
      </c>
      <c r="D12" s="20"/>
      <c r="E12" s="20"/>
      <c r="F12" s="6" t="str">
        <f>P24</f>
        <v>Holanda</v>
      </c>
      <c r="H12" s="56" t="str">
        <f>CONCATENATE(INDEX(T,40,language)," B")</f>
        <v>Grupo B</v>
      </c>
      <c r="I12" s="58" t="str">
        <f>INDEX(T,35,language)</f>
        <v>PG</v>
      </c>
      <c r="J12" s="58" t="str">
        <f>INDEX(T,36,language)</f>
        <v>PE</v>
      </c>
      <c r="K12" s="58" t="str">
        <f>INDEX(T,37,language)</f>
        <v>PP</v>
      </c>
      <c r="L12" s="58" t="str">
        <f>INDEX(T,38,language)</f>
        <v>Gf - Gv</v>
      </c>
      <c r="M12" s="60" t="str">
        <f>INDEX(T,39,language)</f>
        <v>Pts</v>
      </c>
      <c r="AH12" s="37">
        <f>VLOOKUP(F12,P7:AA59,12,FALSE)+VLOOKUP(C12,P7:AA59,12,FALSE)</f>
        <v>2</v>
      </c>
      <c r="AI12" s="37" t="str">
        <f t="shared" si="0"/>
        <v>Serbia y Montenegro</v>
      </c>
      <c r="AJ12" s="37">
        <f t="shared" si="1"/>
        <v>0</v>
      </c>
      <c r="AK12" s="37" t="str">
        <f t="shared" si="2"/>
        <v>Serbia y Montenegro</v>
      </c>
      <c r="AL12" s="37">
        <f t="shared" si="3"/>
        <v>0</v>
      </c>
      <c r="AM12" s="37" t="str">
        <f t="shared" si="4"/>
        <v>Holanda</v>
      </c>
      <c r="AN12" s="37">
        <f t="shared" si="5"/>
        <v>0</v>
      </c>
      <c r="AO12" s="37" t="str">
        <f t="shared" si="6"/>
        <v>Holanda</v>
      </c>
      <c r="AP12" s="37">
        <f t="shared" si="7"/>
        <v>0</v>
      </c>
      <c r="AQ12" s="37">
        <f t="shared" si="8"/>
      </c>
      <c r="AR12" s="37">
        <f t="shared" si="9"/>
      </c>
      <c r="AS12" s="37">
        <f t="shared" si="10"/>
      </c>
      <c r="AT12" s="37">
        <f t="shared" si="11"/>
      </c>
      <c r="AU12" s="37" t="str">
        <f t="shared" si="12"/>
        <v>Serbia y Montenegro</v>
      </c>
      <c r="AV12" s="37">
        <f t="shared" si="13"/>
        <v>0</v>
      </c>
      <c r="AW12" s="37" t="str">
        <f t="shared" si="14"/>
        <v>Serbia y Montenegro</v>
      </c>
      <c r="AX12" s="37">
        <f t="shared" si="15"/>
        <v>0</v>
      </c>
      <c r="AY12" s="37" t="str">
        <f t="shared" si="16"/>
        <v>Holanda</v>
      </c>
      <c r="AZ12" s="37">
        <f t="shared" si="17"/>
        <v>0</v>
      </c>
      <c r="BA12" s="37" t="str">
        <f t="shared" si="18"/>
        <v>Holanda</v>
      </c>
      <c r="BB12" s="37">
        <f t="shared" si="19"/>
        <v>0</v>
      </c>
      <c r="BC12" s="37" t="s">
        <v>58</v>
      </c>
      <c r="BD12" s="37">
        <v>-6</v>
      </c>
      <c r="BE12" s="37" t="s">
        <v>184</v>
      </c>
      <c r="BF12" s="37">
        <v>6</v>
      </c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</row>
    <row r="13" spans="1:102" ht="13.5" customHeight="1" thickBot="1">
      <c r="A13" s="22" t="str">
        <f>CONCATENATE(11+IF(GMT&gt;6,1,0)," ",INDEX(T,80,language))</f>
        <v>11 Jun</v>
      </c>
      <c r="B13" s="18">
        <f>TIME(17+GMT,0,0)</f>
        <v>0.5833333333333334</v>
      </c>
      <c r="C13" s="10" t="str">
        <f>P28</f>
        <v>México</v>
      </c>
      <c r="D13" s="20"/>
      <c r="E13" s="20"/>
      <c r="F13" s="6" t="str">
        <f>P29</f>
        <v>Irán</v>
      </c>
      <c r="H13" s="57"/>
      <c r="I13" s="59"/>
      <c r="J13" s="59"/>
      <c r="K13" s="59"/>
      <c r="L13" s="59"/>
      <c r="M13" s="61"/>
      <c r="AH13" s="37">
        <f>VLOOKUP(F13,P7:AA59,12,FALSE)+VLOOKUP(C13,P7:AA59,12,FALSE)</f>
        <v>2</v>
      </c>
      <c r="AI13" s="37" t="str">
        <f t="shared" si="0"/>
        <v>México</v>
      </c>
      <c r="AJ13" s="37">
        <f t="shared" si="1"/>
        <v>0</v>
      </c>
      <c r="AK13" s="37" t="str">
        <f t="shared" si="2"/>
        <v>México</v>
      </c>
      <c r="AL13" s="37">
        <f t="shared" si="3"/>
        <v>0</v>
      </c>
      <c r="AM13" s="37" t="str">
        <f t="shared" si="4"/>
        <v>Irán</v>
      </c>
      <c r="AN13" s="37">
        <f t="shared" si="5"/>
        <v>0</v>
      </c>
      <c r="AO13" s="37" t="str">
        <f t="shared" si="6"/>
        <v>Irán</v>
      </c>
      <c r="AP13" s="37">
        <f t="shared" si="7"/>
        <v>0</v>
      </c>
      <c r="AQ13" s="37">
        <f t="shared" si="8"/>
      </c>
      <c r="AR13" s="37">
        <f t="shared" si="9"/>
      </c>
      <c r="AS13" s="37">
        <f t="shared" si="10"/>
      </c>
      <c r="AT13" s="37">
        <f t="shared" si="11"/>
      </c>
      <c r="AU13" s="37" t="str">
        <f t="shared" si="12"/>
        <v>México</v>
      </c>
      <c r="AV13" s="37">
        <f t="shared" si="13"/>
        <v>0</v>
      </c>
      <c r="AW13" s="37" t="str">
        <f t="shared" si="14"/>
        <v>México</v>
      </c>
      <c r="AX13" s="37">
        <f t="shared" si="15"/>
        <v>0</v>
      </c>
      <c r="AY13" s="37" t="str">
        <f t="shared" si="16"/>
        <v>Irán</v>
      </c>
      <c r="AZ13" s="37">
        <f t="shared" si="17"/>
        <v>0</v>
      </c>
      <c r="BA13" s="37" t="str">
        <f t="shared" si="18"/>
        <v>Irán</v>
      </c>
      <c r="BB13" s="37">
        <f t="shared" si="19"/>
        <v>0</v>
      </c>
      <c r="BC13" s="37" t="s">
        <v>59</v>
      </c>
      <c r="BD13" s="37">
        <v>-5</v>
      </c>
      <c r="BE13" s="37" t="s">
        <v>446</v>
      </c>
      <c r="BF13" s="37">
        <v>7</v>
      </c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</row>
    <row r="14" spans="1:102" ht="13.5" customHeight="1" thickBot="1">
      <c r="A14" s="22" t="str">
        <f>CONCATENATE(11+IF(GMT&gt;3,1,0)," ",INDEX(T,80,language))</f>
        <v>11 Jun</v>
      </c>
      <c r="B14" s="18">
        <f>TIME(20+GMT,0,0)</f>
        <v>0.7083333333333334</v>
      </c>
      <c r="C14" s="10" t="str">
        <f>P30</f>
        <v>Angola</v>
      </c>
      <c r="D14" s="20"/>
      <c r="E14" s="20"/>
      <c r="F14" s="6" t="str">
        <f>P31</f>
        <v>Portugal</v>
      </c>
      <c r="H14" s="7" t="str">
        <f>VLOOKUP(4,O14:V17,2,FALSE)</f>
        <v>Inglaterra</v>
      </c>
      <c r="I14" s="8">
        <f>VLOOKUP(4,O14:V17,3,FALSE)</f>
        <v>0</v>
      </c>
      <c r="J14" s="8">
        <f>VLOOKUP(4,O14:V17,4,FALSE)</f>
        <v>0</v>
      </c>
      <c r="K14" s="8">
        <f>VLOOKUP(4,O14:V17,5,FALSE)</f>
        <v>0</v>
      </c>
      <c r="L14" s="8" t="str">
        <f>CONCATENATE(VLOOKUP(4,O14:V17,6,FALSE)," - ",VLOOKUP(4,O14:V17,7,FALSE))</f>
        <v>0 - 0</v>
      </c>
      <c r="M14" s="9">
        <f>VLOOKUP(4,O14:V17,8,FALSE)</f>
        <v>0</v>
      </c>
      <c r="O14" s="36">
        <f>IF(W14&gt;W14,1,0)+IF(W14&gt;W15,1,0)+IF(W14&gt;W16,1,0)+IF(W14&gt;W17,1,0)+1</f>
        <v>4</v>
      </c>
      <c r="P14" s="37" t="str">
        <f>INDEX(T,7,language)</f>
        <v>Inglaterra</v>
      </c>
      <c r="Q14" s="38">
        <f>COUNTIF(AQ7:AR54,CONCATENATE(P14,"_win"))</f>
        <v>0</v>
      </c>
      <c r="R14" s="38">
        <f>COUNTIF(AQ7:AR54,CONCATENATE(P14,"_draw"))</f>
        <v>0</v>
      </c>
      <c r="S14" s="38">
        <f>COUNTIF(AQ7:AR54,CONCATENATE(P14,"_lose"))</f>
        <v>0</v>
      </c>
      <c r="T14" s="38">
        <f>SUMIF(AM7:AM54,CONCATENATE("=",P14),AN7:AN54)+SUMIF(AI7:AI54,CONCATENATE("=",P14),AJ7:AJ54)</f>
        <v>0</v>
      </c>
      <c r="U14" s="38">
        <f>SUMIF(AO7:AO54,CONCATENATE("=",P14),AP7:AP54)+SUMIF(AK7:AK54,CONCATENATE("=",P14),AL7:AL54)</f>
        <v>0</v>
      </c>
      <c r="V14" s="38">
        <f>Q14*3+R14</f>
        <v>0</v>
      </c>
      <c r="W14" s="38">
        <f>0.4+T14+(T14-U14)*100+Q14*1000+V14*10000000+AF14*10000</f>
        <v>0.4</v>
      </c>
      <c r="X14" s="37">
        <f>IF(COUNTIF(V14:V17,CONCATENATE("=",V14))=1,0,COUNTIF(V14:V17,CONCATENATE("=",V14)))*V14</f>
        <v>0</v>
      </c>
      <c r="Y14" s="37" t="str">
        <f>IF(SUM(Q14:S17)=12,H14,INDEX(T,50,language))</f>
        <v>Primero del Grupo B</v>
      </c>
      <c r="Z14" s="38">
        <f>IF(X14=X18,V14,IF(X15=X18,V15,IF(X16=X18,V16,V17)))</f>
        <v>0</v>
      </c>
      <c r="AA14" s="38">
        <f>IF(V14=Z14,1,0)</f>
        <v>1</v>
      </c>
      <c r="AB14" s="38">
        <f>COUNTIF(AS7:AT54,CONCATENATE(P14,"_win"))</f>
        <v>0</v>
      </c>
      <c r="AC14" s="38">
        <f>SUMIF(AY7:AY54,CONCATENATE("=",P14),AZ7:AZ54)+SUMIF(AU7:AU54,CONCATENATE("=",P14),AV7:AV54)</f>
        <v>0</v>
      </c>
      <c r="AD14" s="38">
        <f>SUMIF(BA7:BA54,CONCATENATE("=",P14),BB7:BB54)+SUMIF(AW7:AW54,CONCATENATE("=",P14),AX7:AX54)</f>
        <v>0</v>
      </c>
      <c r="AE14" s="37">
        <f>300*AB14+(AC14-AD14)*10+AC14</f>
        <v>0</v>
      </c>
      <c r="AF14" s="37">
        <f>IF(AE14&gt;0,AE14,0)</f>
        <v>0</v>
      </c>
      <c r="AH14" s="37">
        <f>VLOOKUP(F14,P7:AA59,12,FALSE)+VLOOKUP(C14,P7:AA59,12,FALSE)</f>
        <v>2</v>
      </c>
      <c r="AI14" s="37" t="str">
        <f t="shared" si="0"/>
        <v>Angola</v>
      </c>
      <c r="AJ14" s="37">
        <f t="shared" si="1"/>
        <v>0</v>
      </c>
      <c r="AK14" s="37" t="str">
        <f t="shared" si="2"/>
        <v>Angola</v>
      </c>
      <c r="AL14" s="37">
        <f t="shared" si="3"/>
        <v>0</v>
      </c>
      <c r="AM14" s="37" t="str">
        <f t="shared" si="4"/>
        <v>Portugal</v>
      </c>
      <c r="AN14" s="37">
        <f t="shared" si="5"/>
        <v>0</v>
      </c>
      <c r="AO14" s="37" t="str">
        <f t="shared" si="6"/>
        <v>Portugal</v>
      </c>
      <c r="AP14" s="37">
        <f t="shared" si="7"/>
        <v>0</v>
      </c>
      <c r="AQ14" s="37">
        <f t="shared" si="8"/>
      </c>
      <c r="AR14" s="37">
        <f t="shared" si="9"/>
      </c>
      <c r="AS14" s="37">
        <f t="shared" si="10"/>
      </c>
      <c r="AT14" s="37">
        <f t="shared" si="11"/>
      </c>
      <c r="AU14" s="37" t="str">
        <f t="shared" si="12"/>
        <v>Angola</v>
      </c>
      <c r="AV14" s="37">
        <f t="shared" si="13"/>
        <v>0</v>
      </c>
      <c r="AW14" s="37" t="str">
        <f t="shared" si="14"/>
        <v>Angola</v>
      </c>
      <c r="AX14" s="37">
        <f t="shared" si="15"/>
        <v>0</v>
      </c>
      <c r="AY14" s="37" t="str">
        <f t="shared" si="16"/>
        <v>Portugal</v>
      </c>
      <c r="AZ14" s="37">
        <f t="shared" si="17"/>
        <v>0</v>
      </c>
      <c r="BA14" s="37" t="str">
        <f t="shared" si="18"/>
        <v>Portugal</v>
      </c>
      <c r="BB14" s="37">
        <f t="shared" si="19"/>
        <v>0</v>
      </c>
      <c r="BC14" s="37" t="s">
        <v>60</v>
      </c>
      <c r="BD14" s="37">
        <v>-4</v>
      </c>
      <c r="BE14" s="37" t="s">
        <v>515</v>
      </c>
      <c r="BF14" s="37">
        <v>8</v>
      </c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</row>
    <row r="15" spans="1:102" ht="13.5" customHeight="1" thickBot="1">
      <c r="A15" s="22" t="str">
        <f>CONCATENATE(12+IF(GMT&gt;9,1,0)," ",INDEX(T,80,language))</f>
        <v>12 Jun</v>
      </c>
      <c r="B15" s="18">
        <f>TIME(14+GMT,0,0)</f>
        <v>0.4583333333333333</v>
      </c>
      <c r="C15" s="10" t="str">
        <f>P44</f>
        <v>Australia</v>
      </c>
      <c r="D15" s="20"/>
      <c r="E15" s="20"/>
      <c r="F15" s="6" t="str">
        <f>P45</f>
        <v>Japón</v>
      </c>
      <c r="H15" s="11" t="str">
        <f>VLOOKUP(3,O14:V17,2,FALSE)</f>
        <v>Paraguay</v>
      </c>
      <c r="I15" s="12">
        <f>VLOOKUP(3,O14:V17,3,FALSE)</f>
        <v>0</v>
      </c>
      <c r="J15" s="12">
        <f>VLOOKUP(3,O14:V17,4,FALSE)</f>
        <v>0</v>
      </c>
      <c r="K15" s="12">
        <f>VLOOKUP(3,O14:V17,5,FALSE)</f>
        <v>0</v>
      </c>
      <c r="L15" s="12" t="str">
        <f>CONCATENATE(VLOOKUP(3,O14:V17,6,FALSE)," - ",VLOOKUP(3,O14:V17,7,FALSE))</f>
        <v>0 - 0</v>
      </c>
      <c r="M15" s="13">
        <f>VLOOKUP(3,O14:V17,8,FALSE)</f>
        <v>0</v>
      </c>
      <c r="O15" s="36">
        <f>IF(W15&gt;W14,1,0)+IF(W15&gt;W15,1,0)+IF(W15&gt;W16,1,0)+IF(W15&gt;W17,1,0)+1</f>
        <v>3</v>
      </c>
      <c r="P15" s="37" t="str">
        <f>INDEX(T,8,language)</f>
        <v>Paraguay</v>
      </c>
      <c r="Q15" s="38">
        <f>COUNTIF(AQ7:AR54,CONCATENATE(P15,"_win"))</f>
        <v>0</v>
      </c>
      <c r="R15" s="38">
        <f>COUNTIF(AQ7:AR54,CONCATENATE(P15,"_draw"))</f>
        <v>0</v>
      </c>
      <c r="S15" s="38">
        <f>COUNTIF(AQ7:AR54,CONCATENATE(P15,"_lose"))</f>
        <v>0</v>
      </c>
      <c r="T15" s="38">
        <f>SUMIF(AM7:AM54,CONCATENATE("=",P15),AN7:AN54)+SUMIF(AI7:AI54,CONCATENATE("=",P15),AJ7:AJ54)</f>
        <v>0</v>
      </c>
      <c r="U15" s="38">
        <f>SUMIF(AO7:AO54,CONCATENATE("=",P15),AP7:AP54)+SUMIF(AK7:AK54,CONCATENATE("=",P15),AL7:AL54)</f>
        <v>0</v>
      </c>
      <c r="V15" s="38">
        <f>Q15*3+R15</f>
        <v>0</v>
      </c>
      <c r="W15" s="38">
        <f>0.3+T15+(T15-U15)*100+Q15*1000+V15*10000000+AF15*10000</f>
        <v>0.3</v>
      </c>
      <c r="X15" s="37">
        <f>IF(COUNTIF(V14:V17,CONCATENATE("=",V15))=1,0,COUNTIF(V14:V17,CONCATENATE("=",V15)))*V15</f>
        <v>0</v>
      </c>
      <c r="Y15" s="37" t="str">
        <f>IF(SUM(Q14:S17)=12,H15,INDEX(T,51,language))</f>
        <v>Segundo del Grupo B</v>
      </c>
      <c r="AA15" s="38">
        <f>IF(V15=Z14,1,0)</f>
        <v>1</v>
      </c>
      <c r="AB15" s="38">
        <f>COUNTIF(AS7:AT54,CONCATENATE(P15,"_win"))</f>
        <v>0</v>
      </c>
      <c r="AC15" s="38">
        <f>SUMIF(AY7:AY54,CONCATENATE("=",P15),AZ7:AZ54)+SUMIF(AU7:AU54,CONCATENATE("=",P15),AV7:AV54)</f>
        <v>0</v>
      </c>
      <c r="AD15" s="38">
        <f>SUMIF(BA7:BA54,CONCATENATE("=",P15),BB7:BB54)+SUMIF(AW7:AW54,CONCATENATE("=",P15),AX7:AX54)</f>
        <v>0</v>
      </c>
      <c r="AE15" s="37">
        <f>300*AB15+(AC15-AD15)*10+AC15</f>
        <v>0</v>
      </c>
      <c r="AF15" s="37">
        <f>IF(AE15&gt;0,AE15,0)</f>
        <v>0</v>
      </c>
      <c r="AH15" s="37">
        <f>VLOOKUP(F15,P7:AA59,12,FALSE)+VLOOKUP(C15,P7:AA59,12,FALSE)</f>
        <v>2</v>
      </c>
      <c r="AI15" s="37" t="str">
        <f t="shared" si="0"/>
        <v>Australia</v>
      </c>
      <c r="AJ15" s="37">
        <f t="shared" si="1"/>
        <v>0</v>
      </c>
      <c r="AK15" s="37" t="str">
        <f t="shared" si="2"/>
        <v>Australia</v>
      </c>
      <c r="AL15" s="37">
        <f t="shared" si="3"/>
        <v>0</v>
      </c>
      <c r="AM15" s="37" t="str">
        <f t="shared" si="4"/>
        <v>Japón</v>
      </c>
      <c r="AN15" s="37">
        <f t="shared" si="5"/>
        <v>0</v>
      </c>
      <c r="AO15" s="37" t="str">
        <f t="shared" si="6"/>
        <v>Japón</v>
      </c>
      <c r="AP15" s="37">
        <f t="shared" si="7"/>
        <v>0</v>
      </c>
      <c r="AQ15" s="37">
        <f t="shared" si="8"/>
      </c>
      <c r="AR15" s="37">
        <f t="shared" si="9"/>
      </c>
      <c r="AS15" s="37">
        <f t="shared" si="10"/>
      </c>
      <c r="AT15" s="37">
        <f t="shared" si="11"/>
      </c>
      <c r="AU15" s="37" t="str">
        <f t="shared" si="12"/>
        <v>Australia</v>
      </c>
      <c r="AV15" s="37">
        <f t="shared" si="13"/>
        <v>0</v>
      </c>
      <c r="AW15" s="37" t="str">
        <f t="shared" si="14"/>
        <v>Australia</v>
      </c>
      <c r="AX15" s="37">
        <f t="shared" si="15"/>
        <v>0</v>
      </c>
      <c r="AY15" s="37" t="str">
        <f t="shared" si="16"/>
        <v>Japón</v>
      </c>
      <c r="AZ15" s="37">
        <f t="shared" si="17"/>
        <v>0</v>
      </c>
      <c r="BA15" s="37" t="str">
        <f t="shared" si="18"/>
        <v>Japón</v>
      </c>
      <c r="BB15" s="37">
        <f t="shared" si="19"/>
        <v>0</v>
      </c>
      <c r="BC15" s="37" t="s">
        <v>61</v>
      </c>
      <c r="BD15" s="37">
        <v>-3</v>
      </c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</row>
    <row r="16" spans="1:102" ht="13.5" customHeight="1" thickBot="1">
      <c r="A16" s="22" t="str">
        <f>CONCATENATE(12+IF(GMT&gt;6,1,0)," ",INDEX(T,80,language))</f>
        <v>12 Jun</v>
      </c>
      <c r="B16" s="18">
        <f>TIME(17+GMT,0,0)</f>
        <v>0.5833333333333334</v>
      </c>
      <c r="C16" s="10" t="str">
        <f>P37</f>
        <v>Estados Unidos</v>
      </c>
      <c r="D16" s="20"/>
      <c r="E16" s="20"/>
      <c r="F16" s="6" t="str">
        <f>P38</f>
        <v>República Checa</v>
      </c>
      <c r="H16" s="11" t="str">
        <f>VLOOKUP(2,O14:V17,2,FALSE)</f>
        <v>Trinidad y Tobago</v>
      </c>
      <c r="I16" s="12">
        <f>VLOOKUP(2,O14:V17,3,FALSE)</f>
        <v>0</v>
      </c>
      <c r="J16" s="12">
        <f>VLOOKUP(2,O14:V17,4,FALSE)</f>
        <v>0</v>
      </c>
      <c r="K16" s="12">
        <f>VLOOKUP(2,O14:V17,5,FALSE)</f>
        <v>0</v>
      </c>
      <c r="L16" s="12" t="str">
        <f>CONCATENATE(VLOOKUP(2,O14:V17,6,FALSE)," - ",VLOOKUP(2,O14:V17,7,FALSE))</f>
        <v>0 - 0</v>
      </c>
      <c r="M16" s="13">
        <f>VLOOKUP(2,O14:V17,8,FALSE)</f>
        <v>0</v>
      </c>
      <c r="O16" s="36">
        <f>IF(W16&gt;W14,1,0)+IF(W16&gt;W15,1,0)+IF(W16&gt;W16,1,0)+IF(W16&gt;W17,1,0)+1</f>
        <v>2</v>
      </c>
      <c r="P16" s="37" t="str">
        <f>INDEX(T,9,language)</f>
        <v>Trinidad y Tobago</v>
      </c>
      <c r="Q16" s="38">
        <f>COUNTIF(AQ7:AR54,CONCATENATE(P16,"_win"))</f>
        <v>0</v>
      </c>
      <c r="R16" s="38">
        <f>COUNTIF(AQ7:AR54,CONCATENATE(P16,"_draw"))</f>
        <v>0</v>
      </c>
      <c r="S16" s="38">
        <f>COUNTIF(AQ7:AR54,CONCATENATE(P16,"_lose"))</f>
        <v>0</v>
      </c>
      <c r="T16" s="38">
        <f>SUMIF(AM7:AM54,CONCATENATE("=",P16),AN7:AN54)+SUMIF(AI7:AI54,CONCATENATE("=",P16),AJ7:AJ54)</f>
        <v>0</v>
      </c>
      <c r="U16" s="38">
        <f>SUMIF(AO7:AO54,CONCATENATE("=",P16),AP7:AP54)+SUMIF(AK7:AK54,CONCATENATE("=",P16),AL7:AL54)</f>
        <v>0</v>
      </c>
      <c r="V16" s="38">
        <f>Q16*3+R16</f>
        <v>0</v>
      </c>
      <c r="W16" s="38">
        <f>0.2+T16+(T16-U16)*100+Q16*1000+V16*10000000+AF16*10000</f>
        <v>0.2</v>
      </c>
      <c r="X16" s="37">
        <f>IF(COUNTIF(V14:V17,CONCATENATE("=",V16))=1,0,COUNTIF(V14:V17,CONCATENATE("=",V16)))*V16</f>
        <v>0</v>
      </c>
      <c r="AA16" s="38">
        <f>IF(V16=Z14,1,0)</f>
        <v>1</v>
      </c>
      <c r="AB16" s="38">
        <f>COUNTIF(AS7:AT54,CONCATENATE(P16,"_win"))</f>
        <v>0</v>
      </c>
      <c r="AC16" s="38">
        <f>SUMIF(AY7:AY54,CONCATENATE("=",P16),AZ7:AZ54)+SUMIF(AU7:AU54,CONCATENATE("=",P16),AV7:AV54)</f>
        <v>0</v>
      </c>
      <c r="AD16" s="38">
        <f>SUMIF(BA7:BA54,CONCATENATE("=",P16),BB7:BB54)+SUMIF(AW7:AW54,CONCATENATE("=",P16),AX7:AX54)</f>
        <v>0</v>
      </c>
      <c r="AE16" s="37">
        <f>300*AB16+(AC16-AD16)*10+AC16</f>
        <v>0</v>
      </c>
      <c r="AF16" s="37">
        <f>IF(AE16&gt;0,AE16,0)</f>
        <v>0</v>
      </c>
      <c r="AH16" s="37">
        <f>VLOOKUP(F16,P7:AA59,12,FALSE)+VLOOKUP(C16,P7:AA59,12,FALSE)</f>
        <v>2</v>
      </c>
      <c r="AI16" s="37" t="str">
        <f t="shared" si="0"/>
        <v>Estados Unidos</v>
      </c>
      <c r="AJ16" s="37">
        <f t="shared" si="1"/>
        <v>0</v>
      </c>
      <c r="AK16" s="37" t="str">
        <f t="shared" si="2"/>
        <v>Estados Unidos</v>
      </c>
      <c r="AL16" s="37">
        <f t="shared" si="3"/>
        <v>0</v>
      </c>
      <c r="AM16" s="37" t="str">
        <f t="shared" si="4"/>
        <v>República Checa</v>
      </c>
      <c r="AN16" s="37">
        <f t="shared" si="5"/>
        <v>0</v>
      </c>
      <c r="AO16" s="37" t="str">
        <f t="shared" si="6"/>
        <v>República Checa</v>
      </c>
      <c r="AP16" s="37">
        <f t="shared" si="7"/>
        <v>0</v>
      </c>
      <c r="AQ16" s="37">
        <f t="shared" si="8"/>
      </c>
      <c r="AR16" s="37">
        <f t="shared" si="9"/>
      </c>
      <c r="AS16" s="37">
        <f t="shared" si="10"/>
      </c>
      <c r="AT16" s="37">
        <f t="shared" si="11"/>
      </c>
      <c r="AU16" s="37" t="str">
        <f t="shared" si="12"/>
        <v>Estados Unidos</v>
      </c>
      <c r="AV16" s="37">
        <f t="shared" si="13"/>
        <v>0</v>
      </c>
      <c r="AW16" s="37" t="str">
        <f t="shared" si="14"/>
        <v>Estados Unidos</v>
      </c>
      <c r="AX16" s="37">
        <f t="shared" si="15"/>
        <v>0</v>
      </c>
      <c r="AY16" s="37" t="str">
        <f t="shared" si="16"/>
        <v>República Checa</v>
      </c>
      <c r="AZ16" s="37">
        <f t="shared" si="17"/>
        <v>0</v>
      </c>
      <c r="BA16" s="37" t="str">
        <f t="shared" si="18"/>
        <v>República Checa</v>
      </c>
      <c r="BB16" s="37">
        <f t="shared" si="19"/>
        <v>0</v>
      </c>
      <c r="BC16" s="37" t="s">
        <v>62</v>
      </c>
      <c r="BD16" s="37">
        <v>-2</v>
      </c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</row>
    <row r="17" spans="1:102" ht="13.5" customHeight="1" thickBot="1">
      <c r="A17" s="22" t="str">
        <f>CONCATENATE(12+IF(GMT&gt;3,1,0)," ",INDEX(T,80,language))</f>
        <v>12 Jun</v>
      </c>
      <c r="B17" s="18">
        <f>TIME(20+GMT,0,0)</f>
        <v>0.7083333333333334</v>
      </c>
      <c r="C17" s="10" t="str">
        <f>P35</f>
        <v>Italia</v>
      </c>
      <c r="D17" s="20"/>
      <c r="E17" s="20"/>
      <c r="F17" s="6" t="str">
        <f>P36</f>
        <v>Ghana</v>
      </c>
      <c r="H17" s="14" t="str">
        <f>VLOOKUP(1,O14:V17,2,FALSE)</f>
        <v>Suecia</v>
      </c>
      <c r="I17" s="15">
        <f>VLOOKUP(1,O14:V17,3,FALSE)</f>
        <v>0</v>
      </c>
      <c r="J17" s="15">
        <f>VLOOKUP(1,O14:V17,4,FALSE)</f>
        <v>0</v>
      </c>
      <c r="K17" s="15">
        <f>VLOOKUP(1,O14:V17,5,FALSE)</f>
        <v>0</v>
      </c>
      <c r="L17" s="15" t="str">
        <f>CONCATENATE(VLOOKUP(1,O14:V17,6,FALSE)," - ",VLOOKUP(1,O14:V17,7,FALSE))</f>
        <v>0 - 0</v>
      </c>
      <c r="M17" s="16">
        <f>VLOOKUP(1,O14:V17,8,FALSE)</f>
        <v>0</v>
      </c>
      <c r="O17" s="36">
        <f>IF(W17&gt;W14,1,0)+IF(W17&gt;W15,1,0)+IF(W17&gt;W16,1,0)+IF(W17&gt;W17,1,0)+1</f>
        <v>1</v>
      </c>
      <c r="P17" s="37" t="str">
        <f>INDEX(T,10,language)</f>
        <v>Suecia</v>
      </c>
      <c r="Q17" s="38">
        <f>COUNTIF(AQ7:AR54,CONCATENATE(P17,"_win"))</f>
        <v>0</v>
      </c>
      <c r="R17" s="38">
        <f>COUNTIF(AQ7:AR54,CONCATENATE(P17,"_draw"))</f>
        <v>0</v>
      </c>
      <c r="S17" s="38">
        <f>COUNTIF(AQ7:AR54,CONCATENATE(P17,"_lose"))</f>
        <v>0</v>
      </c>
      <c r="T17" s="38">
        <f>SUMIF(AM7:AM54,CONCATENATE("=",P17),AN7:AN54)+SUMIF(AI7:AI54,CONCATENATE("=",P17),AJ7:AJ54)</f>
        <v>0</v>
      </c>
      <c r="U17" s="38">
        <f>SUMIF(AO7:AO54,CONCATENATE("=",P17),AP7:AP54)+SUMIF(AK7:AK54,CONCATENATE("=",P17),AL7:AL54)</f>
        <v>0</v>
      </c>
      <c r="V17" s="38">
        <f>Q17*3+R17</f>
        <v>0</v>
      </c>
      <c r="W17" s="38">
        <f>0.1+T17+(T17-U17)*100+Q17*1000+V17*10000000+AF17*10000</f>
        <v>0.1</v>
      </c>
      <c r="X17" s="37">
        <f>IF(COUNTIF(V14:V17,CONCATENATE("=",V17))=1,0,COUNTIF(V14:V17,CONCATENATE("=",V17)))*V17</f>
        <v>0</v>
      </c>
      <c r="AA17" s="38">
        <f>IF(V17=Z14,1,0)</f>
        <v>1</v>
      </c>
      <c r="AB17" s="38">
        <f>COUNTIF(AS7:AT54,CONCATENATE(P17,"_win"))</f>
        <v>0</v>
      </c>
      <c r="AC17" s="38">
        <f>SUMIF(AY7:AY54,CONCATENATE("=",P17),AZ7:AZ54)+SUMIF(AU7:AU54,CONCATENATE("=",P17),AV7:AV54)</f>
        <v>0</v>
      </c>
      <c r="AD17" s="38">
        <f>SUMIF(BA7:BA54,CONCATENATE("=",P17),BB7:BB54)+SUMIF(AW7:AW54,CONCATENATE("=",P17),AX7:AX54)</f>
        <v>0</v>
      </c>
      <c r="AE17" s="37">
        <f>300*AB17+(AC17-AD17)*10+AC17</f>
        <v>0</v>
      </c>
      <c r="AF17" s="37">
        <f>IF(AE17&gt;0,AE17,0)</f>
        <v>0</v>
      </c>
      <c r="AH17" s="37">
        <f>VLOOKUP(F17,P7:AA59,12,FALSE)+VLOOKUP(C17,P7:AA59,12,FALSE)</f>
        <v>2</v>
      </c>
      <c r="AI17" s="37" t="str">
        <f t="shared" si="0"/>
        <v>Italia</v>
      </c>
      <c r="AJ17" s="37">
        <f t="shared" si="1"/>
        <v>0</v>
      </c>
      <c r="AK17" s="37" t="str">
        <f t="shared" si="2"/>
        <v>Italia</v>
      </c>
      <c r="AL17" s="37">
        <f t="shared" si="3"/>
        <v>0</v>
      </c>
      <c r="AM17" s="37" t="str">
        <f t="shared" si="4"/>
        <v>Ghana</v>
      </c>
      <c r="AN17" s="37">
        <f t="shared" si="5"/>
        <v>0</v>
      </c>
      <c r="AO17" s="37" t="str">
        <f t="shared" si="6"/>
        <v>Ghana</v>
      </c>
      <c r="AP17" s="37">
        <f t="shared" si="7"/>
        <v>0</v>
      </c>
      <c r="AQ17" s="37">
        <f t="shared" si="8"/>
      </c>
      <c r="AR17" s="37">
        <f t="shared" si="9"/>
      </c>
      <c r="AS17" s="37">
        <f t="shared" si="10"/>
      </c>
      <c r="AT17" s="37">
        <f t="shared" si="11"/>
      </c>
      <c r="AU17" s="37" t="str">
        <f t="shared" si="12"/>
        <v>Italia</v>
      </c>
      <c r="AV17" s="37">
        <f t="shared" si="13"/>
        <v>0</v>
      </c>
      <c r="AW17" s="37" t="str">
        <f t="shared" si="14"/>
        <v>Italia</v>
      </c>
      <c r="AX17" s="37">
        <f t="shared" si="15"/>
        <v>0</v>
      </c>
      <c r="AY17" s="37" t="str">
        <f t="shared" si="16"/>
        <v>Ghana</v>
      </c>
      <c r="AZ17" s="37">
        <f t="shared" si="17"/>
        <v>0</v>
      </c>
      <c r="BA17" s="37" t="str">
        <f t="shared" si="18"/>
        <v>Ghana</v>
      </c>
      <c r="BB17" s="37">
        <f t="shared" si="19"/>
        <v>0</v>
      </c>
      <c r="BC17" s="37" t="s">
        <v>63</v>
      </c>
      <c r="BD17" s="37">
        <v>-1</v>
      </c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</row>
    <row r="18" spans="1:102" ht="13.5" customHeight="1" thickBot="1">
      <c r="A18" s="22" t="str">
        <f>CONCATENATE(13+IF(GMT&gt;9,1,0)," ",INDEX(T,80,language))</f>
        <v>13 Jun</v>
      </c>
      <c r="B18" s="18">
        <f>TIME(14+GMT,0,0)</f>
        <v>0.4583333333333333</v>
      </c>
      <c r="C18" s="10" t="str">
        <f>P51</f>
        <v>Sur Corea</v>
      </c>
      <c r="D18" s="20"/>
      <c r="E18" s="20"/>
      <c r="F18" s="6" t="str">
        <f>P52</f>
        <v>Togo</v>
      </c>
      <c r="X18" s="37">
        <f>MAX(X14:X17)</f>
        <v>0</v>
      </c>
      <c r="AH18" s="37">
        <f>VLOOKUP(F18,P7:AA59,12,FALSE)+VLOOKUP(C18,P7:AA59,12,FALSE)</f>
        <v>2</v>
      </c>
      <c r="AI18" s="37" t="str">
        <f t="shared" si="0"/>
        <v>Sur Corea</v>
      </c>
      <c r="AJ18" s="37">
        <f t="shared" si="1"/>
        <v>0</v>
      </c>
      <c r="AK18" s="37" t="str">
        <f t="shared" si="2"/>
        <v>Sur Corea</v>
      </c>
      <c r="AL18" s="37">
        <f t="shared" si="3"/>
        <v>0</v>
      </c>
      <c r="AM18" s="37" t="str">
        <f t="shared" si="4"/>
        <v>Togo</v>
      </c>
      <c r="AN18" s="37">
        <f t="shared" si="5"/>
        <v>0</v>
      </c>
      <c r="AO18" s="37" t="str">
        <f t="shared" si="6"/>
        <v>Togo</v>
      </c>
      <c r="AP18" s="37">
        <f t="shared" si="7"/>
        <v>0</v>
      </c>
      <c r="AQ18" s="37">
        <f t="shared" si="8"/>
      </c>
      <c r="AR18" s="37">
        <f t="shared" si="9"/>
      </c>
      <c r="AS18" s="37">
        <f t="shared" si="10"/>
      </c>
      <c r="AT18" s="37">
        <f t="shared" si="11"/>
      </c>
      <c r="AU18" s="37" t="str">
        <f t="shared" si="12"/>
        <v>Sur Corea</v>
      </c>
      <c r="AV18" s="37">
        <f t="shared" si="13"/>
        <v>0</v>
      </c>
      <c r="AW18" s="37" t="str">
        <f t="shared" si="14"/>
        <v>Sur Corea</v>
      </c>
      <c r="AX18" s="37">
        <f t="shared" si="15"/>
        <v>0</v>
      </c>
      <c r="AY18" s="37" t="str">
        <f t="shared" si="16"/>
        <v>Togo</v>
      </c>
      <c r="AZ18" s="37">
        <f t="shared" si="17"/>
        <v>0</v>
      </c>
      <c r="BA18" s="37" t="str">
        <f t="shared" si="18"/>
        <v>Togo</v>
      </c>
      <c r="BB18" s="37">
        <f t="shared" si="19"/>
        <v>0</v>
      </c>
      <c r="BC18" s="37" t="s">
        <v>56</v>
      </c>
      <c r="BD18" s="37">
        <v>0</v>
      </c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</row>
    <row r="19" spans="1:102" ht="13.5" customHeight="1" thickBot="1">
      <c r="A19" s="22" t="str">
        <f>CONCATENATE(13+IF(GMT&gt;6,1,0)," ",INDEX(T,80,language))</f>
        <v>13 Jun</v>
      </c>
      <c r="B19" s="18">
        <f>TIME(17+GMT,0,0)</f>
        <v>0.5833333333333334</v>
      </c>
      <c r="C19" s="10" t="str">
        <f>P49</f>
        <v>Francia</v>
      </c>
      <c r="D19" s="20"/>
      <c r="E19" s="20"/>
      <c r="F19" s="6" t="str">
        <f>P50</f>
        <v>Suiza</v>
      </c>
      <c r="H19" s="52" t="str">
        <f>CONCATENATE(INDEX(T,40,language)," C")</f>
        <v>Grupo C</v>
      </c>
      <c r="I19" s="44" t="str">
        <f>INDEX(T,35,language)</f>
        <v>PG</v>
      </c>
      <c r="J19" s="44" t="str">
        <f>INDEX(T,36,language)</f>
        <v>PE</v>
      </c>
      <c r="K19" s="44" t="str">
        <f>INDEX(T,37,language)</f>
        <v>PP</v>
      </c>
      <c r="L19" s="44" t="str">
        <f>INDEX(T,38,language)</f>
        <v>Gf - Gv</v>
      </c>
      <c r="M19" s="54" t="str">
        <f>INDEX(T,39,language)</f>
        <v>Pts</v>
      </c>
      <c r="AH19" s="37">
        <f>VLOOKUP(F19,P7:AA59,12,FALSE)+VLOOKUP(C19,P7:AA59,12,FALSE)</f>
        <v>2</v>
      </c>
      <c r="AI19" s="37" t="str">
        <f t="shared" si="0"/>
        <v>Francia</v>
      </c>
      <c r="AJ19" s="37">
        <f t="shared" si="1"/>
        <v>0</v>
      </c>
      <c r="AK19" s="37" t="str">
        <f t="shared" si="2"/>
        <v>Francia</v>
      </c>
      <c r="AL19" s="37">
        <f t="shared" si="3"/>
        <v>0</v>
      </c>
      <c r="AM19" s="37" t="str">
        <f t="shared" si="4"/>
        <v>Suiza</v>
      </c>
      <c r="AN19" s="37">
        <f t="shared" si="5"/>
        <v>0</v>
      </c>
      <c r="AO19" s="37" t="str">
        <f t="shared" si="6"/>
        <v>Suiza</v>
      </c>
      <c r="AP19" s="37">
        <f t="shared" si="7"/>
        <v>0</v>
      </c>
      <c r="AQ19" s="37">
        <f t="shared" si="8"/>
      </c>
      <c r="AR19" s="37">
        <f t="shared" si="9"/>
      </c>
      <c r="AS19" s="37">
        <f t="shared" si="10"/>
      </c>
      <c r="AT19" s="37">
        <f t="shared" si="11"/>
      </c>
      <c r="AU19" s="37" t="str">
        <f t="shared" si="12"/>
        <v>Francia</v>
      </c>
      <c r="AV19" s="37">
        <f t="shared" si="13"/>
        <v>0</v>
      </c>
      <c r="AW19" s="37" t="str">
        <f t="shared" si="14"/>
        <v>Francia</v>
      </c>
      <c r="AX19" s="37">
        <f t="shared" si="15"/>
        <v>0</v>
      </c>
      <c r="AY19" s="37" t="str">
        <f t="shared" si="16"/>
        <v>Suiza</v>
      </c>
      <c r="AZ19" s="37">
        <f t="shared" si="17"/>
        <v>0</v>
      </c>
      <c r="BA19" s="37" t="str">
        <f t="shared" si="18"/>
        <v>Suiza</v>
      </c>
      <c r="BB19" s="37">
        <f t="shared" si="19"/>
        <v>0</v>
      </c>
      <c r="BC19" s="37" t="s">
        <v>64</v>
      </c>
      <c r="BD19" s="37">
        <v>1</v>
      </c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</row>
    <row r="20" spans="1:102" ht="13.5" customHeight="1" thickBot="1">
      <c r="A20" s="22" t="str">
        <f>CONCATENATE(13+IF(GMT&gt;3,1,0)," ",INDEX(T,80,language))</f>
        <v>13 Jun</v>
      </c>
      <c r="B20" s="18">
        <f>TIME(20+GMT,0,0)</f>
        <v>0.7083333333333334</v>
      </c>
      <c r="C20" s="10" t="str">
        <f>P42</f>
        <v>Brasil</v>
      </c>
      <c r="D20" s="20"/>
      <c r="E20" s="20"/>
      <c r="F20" s="6" t="str">
        <f>P43</f>
        <v>Croacia</v>
      </c>
      <c r="H20" s="53"/>
      <c r="I20" s="45"/>
      <c r="J20" s="45"/>
      <c r="K20" s="45"/>
      <c r="L20" s="45"/>
      <c r="M20" s="55"/>
      <c r="AH20" s="37">
        <f>VLOOKUP(F20,P7:AA59,12,FALSE)+VLOOKUP(C20,P7:AA59,12,FALSE)</f>
        <v>2</v>
      </c>
      <c r="AI20" s="37" t="str">
        <f t="shared" si="0"/>
        <v>Brasil</v>
      </c>
      <c r="AJ20" s="37">
        <f t="shared" si="1"/>
        <v>0</v>
      </c>
      <c r="AK20" s="37" t="str">
        <f t="shared" si="2"/>
        <v>Brasil</v>
      </c>
      <c r="AL20" s="37">
        <f t="shared" si="3"/>
        <v>0</v>
      </c>
      <c r="AM20" s="37" t="str">
        <f t="shared" si="4"/>
        <v>Croacia</v>
      </c>
      <c r="AN20" s="37">
        <f t="shared" si="5"/>
        <v>0</v>
      </c>
      <c r="AO20" s="37" t="str">
        <f t="shared" si="6"/>
        <v>Croacia</v>
      </c>
      <c r="AP20" s="37">
        <f t="shared" si="7"/>
        <v>0</v>
      </c>
      <c r="AQ20" s="37">
        <f t="shared" si="8"/>
      </c>
      <c r="AR20" s="37">
        <f t="shared" si="9"/>
      </c>
      <c r="AS20" s="37">
        <f t="shared" si="10"/>
      </c>
      <c r="AT20" s="37">
        <f t="shared" si="11"/>
      </c>
      <c r="AU20" s="37" t="str">
        <f t="shared" si="12"/>
        <v>Brasil</v>
      </c>
      <c r="AV20" s="37">
        <f t="shared" si="13"/>
        <v>0</v>
      </c>
      <c r="AW20" s="37" t="str">
        <f t="shared" si="14"/>
        <v>Brasil</v>
      </c>
      <c r="AX20" s="37">
        <f t="shared" si="15"/>
        <v>0</v>
      </c>
      <c r="AY20" s="37" t="str">
        <f t="shared" si="16"/>
        <v>Croacia</v>
      </c>
      <c r="AZ20" s="37">
        <f t="shared" si="17"/>
        <v>0</v>
      </c>
      <c r="BA20" s="37" t="str">
        <f t="shared" si="18"/>
        <v>Croacia</v>
      </c>
      <c r="BB20" s="37">
        <f t="shared" si="19"/>
        <v>0</v>
      </c>
      <c r="BC20" s="37" t="s">
        <v>65</v>
      </c>
      <c r="BD20" s="37">
        <v>2</v>
      </c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</row>
    <row r="21" spans="1:102" ht="13.5" customHeight="1" thickBot="1">
      <c r="A21" s="22" t="str">
        <f>CONCATENATE(14+IF(GMT&gt;9,1,0)," ",INDEX(T,80,language))</f>
        <v>14 Jun</v>
      </c>
      <c r="B21" s="18">
        <f>TIME(14+GMT,0,0)</f>
        <v>0.4583333333333333</v>
      </c>
      <c r="C21" s="10" t="str">
        <f>P56</f>
        <v>España</v>
      </c>
      <c r="D21" s="20"/>
      <c r="E21" s="20"/>
      <c r="F21" s="6" t="str">
        <f>P57</f>
        <v>Ucrania</v>
      </c>
      <c r="H21" s="7" t="str">
        <f>VLOOKUP(4,O21:V24,2,FALSE)</f>
        <v>Argentina</v>
      </c>
      <c r="I21" s="8">
        <f>VLOOKUP(4,O21:V24,3,FALSE)</f>
        <v>0</v>
      </c>
      <c r="J21" s="8">
        <f>VLOOKUP(4,O21:V24,4,FALSE)</f>
        <v>0</v>
      </c>
      <c r="K21" s="8">
        <f>VLOOKUP(4,O21:V24,5,FALSE)</f>
        <v>0</v>
      </c>
      <c r="L21" s="8" t="str">
        <f>CONCATENATE(VLOOKUP(4,O21:V24,6,FALSE)," - ",VLOOKUP(4,O21:V24,7,FALSE))</f>
        <v>0 - 0</v>
      </c>
      <c r="M21" s="9">
        <f>VLOOKUP(4,O21:V24,8,FALSE)</f>
        <v>0</v>
      </c>
      <c r="O21" s="36">
        <f>IF(W21&gt;W21,1,0)+IF(W21&gt;W22,1,0)+IF(W21&gt;W23,1,0)+IF(W21&gt;W24,1,0)+1</f>
        <v>4</v>
      </c>
      <c r="P21" s="37" t="str">
        <f>INDEX(T,11,language)</f>
        <v>Argentina</v>
      </c>
      <c r="Q21" s="38">
        <f>COUNTIF(AQ7:AR54,CONCATENATE(P21,"_win"))</f>
        <v>0</v>
      </c>
      <c r="R21" s="38">
        <f>COUNTIF(AQ7:AR54,CONCATENATE(P21,"_draw"))</f>
        <v>0</v>
      </c>
      <c r="S21" s="38">
        <f>COUNTIF(AQ7:AR54,CONCATENATE(P21,"_lose"))</f>
        <v>0</v>
      </c>
      <c r="T21" s="38">
        <f>SUMIF(AM7:AM54,CONCATENATE("=",P21),AN7:AN54)+SUMIF(AI7:AI54,CONCATENATE("=",P21),AJ7:AJ54)</f>
        <v>0</v>
      </c>
      <c r="U21" s="38">
        <f>SUMIF(AO7:AO54,CONCATENATE("=",P21),AP7:AP54)+SUMIF(AK7:AK54,CONCATENATE("=",P21),AL7:AL54)</f>
        <v>0</v>
      </c>
      <c r="V21" s="38">
        <f>Q21*3+R21</f>
        <v>0</v>
      </c>
      <c r="W21" s="38">
        <f>0.4+T21+(T21-U21)*100+Q21*1000+V21*10000000+AF21*10000</f>
        <v>0.4</v>
      </c>
      <c r="X21" s="37">
        <f>IF(COUNTIF(V21:V24,CONCATENATE("=",V21))=1,0,COUNTIF(V21:V24,CONCATENATE("=",V21)))*V21</f>
        <v>0</v>
      </c>
      <c r="Y21" s="37" t="str">
        <f>IF(SUM(Q21:S24)=12,H21,INDEX(T,52,language))</f>
        <v>Primero del Grupo C</v>
      </c>
      <c r="Z21" s="38">
        <f>IF(X21=X25,V21,IF(X22=X25,V22,IF(X23=X25,V23,V24)))</f>
        <v>0</v>
      </c>
      <c r="AA21" s="38">
        <f>IF(V21=Z21,1,0)</f>
        <v>1</v>
      </c>
      <c r="AB21" s="38">
        <f>COUNTIF(AS7:AT54,CONCATENATE(P21,"_win"))</f>
        <v>0</v>
      </c>
      <c r="AC21" s="38">
        <f>SUMIF(AY7:AY54,CONCATENATE("=",P21),AZ7:AZ54)+SUMIF(AU7:AU54,CONCATENATE("=",P21),AV7:AV54)</f>
        <v>0</v>
      </c>
      <c r="AD21" s="38">
        <f>SUMIF(BA7:BA54,CONCATENATE("=",P21),BB7:BB54)+SUMIF(AW7:AW54,CONCATENATE("=",P21),AX7:AX54)</f>
        <v>0</v>
      </c>
      <c r="AE21" s="37">
        <f>300*AB21+(AC21-AD21)*10+AC21</f>
        <v>0</v>
      </c>
      <c r="AF21" s="37">
        <f>IF(AE21&gt;0,AE21,0)</f>
        <v>0</v>
      </c>
      <c r="AH21" s="37">
        <f>VLOOKUP(F21,P7:AA59,12,FALSE)+VLOOKUP(C21,P7:AA59,12,FALSE)</f>
        <v>2</v>
      </c>
      <c r="AI21" s="37" t="str">
        <f t="shared" si="0"/>
        <v>España</v>
      </c>
      <c r="AJ21" s="37">
        <f t="shared" si="1"/>
        <v>0</v>
      </c>
      <c r="AK21" s="37" t="str">
        <f t="shared" si="2"/>
        <v>España</v>
      </c>
      <c r="AL21" s="37">
        <f t="shared" si="3"/>
        <v>0</v>
      </c>
      <c r="AM21" s="37" t="str">
        <f t="shared" si="4"/>
        <v>Ucrania</v>
      </c>
      <c r="AN21" s="37">
        <f t="shared" si="5"/>
        <v>0</v>
      </c>
      <c r="AO21" s="37" t="str">
        <f t="shared" si="6"/>
        <v>Ucrania</v>
      </c>
      <c r="AP21" s="37">
        <f t="shared" si="7"/>
        <v>0</v>
      </c>
      <c r="AQ21" s="37">
        <f t="shared" si="8"/>
      </c>
      <c r="AR21" s="37">
        <f t="shared" si="9"/>
      </c>
      <c r="AS21" s="37">
        <f t="shared" si="10"/>
      </c>
      <c r="AT21" s="37">
        <f t="shared" si="11"/>
      </c>
      <c r="AU21" s="37" t="str">
        <f t="shared" si="12"/>
        <v>España</v>
      </c>
      <c r="AV21" s="37">
        <f t="shared" si="13"/>
        <v>0</v>
      </c>
      <c r="AW21" s="37" t="str">
        <f t="shared" si="14"/>
        <v>España</v>
      </c>
      <c r="AX21" s="37">
        <f t="shared" si="15"/>
        <v>0</v>
      </c>
      <c r="AY21" s="37" t="str">
        <f t="shared" si="16"/>
        <v>Ucrania</v>
      </c>
      <c r="AZ21" s="37">
        <f t="shared" si="17"/>
        <v>0</v>
      </c>
      <c r="BA21" s="37" t="str">
        <f t="shared" si="18"/>
        <v>Ucrania</v>
      </c>
      <c r="BB21" s="37">
        <f t="shared" si="19"/>
        <v>0</v>
      </c>
      <c r="BC21" s="37" t="s">
        <v>66</v>
      </c>
      <c r="BD21" s="37">
        <v>3</v>
      </c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</row>
    <row r="22" spans="1:102" ht="13.5" customHeight="1" thickBot="1">
      <c r="A22" s="22" t="str">
        <f>CONCATENATE(14+IF(GMT&gt;6,1,0)," ",INDEX(T,80,language))</f>
        <v>14 Jun</v>
      </c>
      <c r="B22" s="18">
        <f>TIME(17+GMT,0,0)</f>
        <v>0.5833333333333334</v>
      </c>
      <c r="C22" s="10" t="str">
        <f>P58</f>
        <v>Túnez</v>
      </c>
      <c r="D22" s="20"/>
      <c r="E22" s="20"/>
      <c r="F22" s="6" t="str">
        <f>P59</f>
        <v>Arabia Saudí</v>
      </c>
      <c r="H22" s="11" t="str">
        <f>VLOOKUP(3,O21:V24,2,FALSE)</f>
        <v>Costa de Marfil</v>
      </c>
      <c r="I22" s="12">
        <f>VLOOKUP(3,O21:V24,3,FALSE)</f>
        <v>0</v>
      </c>
      <c r="J22" s="12">
        <f>VLOOKUP(3,O21:V24,4,FALSE)</f>
        <v>0</v>
      </c>
      <c r="K22" s="12">
        <f>VLOOKUP(3,O21:V24,5,FALSE)</f>
        <v>0</v>
      </c>
      <c r="L22" s="12" t="str">
        <f>CONCATENATE(VLOOKUP(3,O21:V24,6,FALSE)," - ",VLOOKUP(3,O21:V24,7,FALSE))</f>
        <v>0 - 0</v>
      </c>
      <c r="M22" s="13">
        <f>VLOOKUP(3,O21:V24,8,FALSE)</f>
        <v>0</v>
      </c>
      <c r="O22" s="36">
        <f>IF(W22&gt;W21,1,0)+IF(W22&gt;W22,1,0)+IF(W22&gt;W23,1,0)+IF(W22&gt;W24,1,0)+1</f>
        <v>3</v>
      </c>
      <c r="P22" s="37" t="str">
        <f>INDEX(T,12,language)</f>
        <v>Costa de Marfil</v>
      </c>
      <c r="Q22" s="38">
        <f>COUNTIF(AQ7:AR54,CONCATENATE(P22,"_win"))</f>
        <v>0</v>
      </c>
      <c r="R22" s="38">
        <f>COUNTIF(AQ7:AR54,CONCATENATE(P22,"_draw"))</f>
        <v>0</v>
      </c>
      <c r="S22" s="38">
        <f>COUNTIF(AQ7:AR54,CONCATENATE(P22,"_lose"))</f>
        <v>0</v>
      </c>
      <c r="T22" s="38">
        <f>SUMIF(AM7:AM54,CONCATENATE("=",P22),AN7:AN54)+SUMIF(AI7:AI54,CONCATENATE("=",P22),AJ7:AJ54)</f>
        <v>0</v>
      </c>
      <c r="U22" s="38">
        <f>SUMIF(AO7:AO54,CONCATENATE("=",P22),AP7:AP54)+SUMIF(AK7:AK54,CONCATENATE("=",P22),AL7:AL54)</f>
        <v>0</v>
      </c>
      <c r="V22" s="38">
        <f>Q22*3+R22</f>
        <v>0</v>
      </c>
      <c r="W22" s="38">
        <f>0.3+T22+(T22-U22)*100+Q22*1000+V22*10000000+AF22*10000</f>
        <v>0.3</v>
      </c>
      <c r="X22" s="37">
        <f>IF(COUNTIF(V21:V24,CONCATENATE("=",V22))=1,0,COUNTIF(V21:V24,CONCATENATE("=",V22)))*V22</f>
        <v>0</v>
      </c>
      <c r="Y22" s="37" t="str">
        <f>IF(SUM(Q21:S24)=12,H22,INDEX(T,53,language))</f>
        <v>Segundo del Grupo C</v>
      </c>
      <c r="AA22" s="38">
        <f>IF(V22=Z21,1,0)</f>
        <v>1</v>
      </c>
      <c r="AB22" s="38">
        <f>COUNTIF(AS7:AT54,CONCATENATE(P22,"_win"))</f>
        <v>0</v>
      </c>
      <c r="AC22" s="38">
        <f>SUMIF(AY7:AY54,CONCATENATE("=",P22),AZ7:AZ54)+SUMIF(AU7:AU54,CONCATENATE("=",P22),AV7:AV54)</f>
        <v>0</v>
      </c>
      <c r="AD22" s="38">
        <f>SUMIF(BA7:BA54,CONCATENATE("=",P22),BB7:BB54)+SUMIF(AW7:AW54,CONCATENATE("=",P22),AX7:AX54)</f>
        <v>0</v>
      </c>
      <c r="AE22" s="37">
        <f>300*AB22+(AC22-AD22)*10+AC22</f>
        <v>0</v>
      </c>
      <c r="AF22" s="37">
        <f>IF(AE22&gt;0,AE22,0)</f>
        <v>0</v>
      </c>
      <c r="AH22" s="37">
        <f>VLOOKUP(F22,P7:AA59,12,FALSE)+VLOOKUP(C22,P7:AA59,12,FALSE)</f>
        <v>2</v>
      </c>
      <c r="AI22" s="37" t="str">
        <f t="shared" si="0"/>
        <v>Túnez</v>
      </c>
      <c r="AJ22" s="37">
        <f t="shared" si="1"/>
        <v>0</v>
      </c>
      <c r="AK22" s="37" t="str">
        <f t="shared" si="2"/>
        <v>Túnez</v>
      </c>
      <c r="AL22" s="37">
        <f t="shared" si="3"/>
        <v>0</v>
      </c>
      <c r="AM22" s="37" t="str">
        <f t="shared" si="4"/>
        <v>Arabia Saudí</v>
      </c>
      <c r="AN22" s="37">
        <f t="shared" si="5"/>
        <v>0</v>
      </c>
      <c r="AO22" s="37" t="str">
        <f t="shared" si="6"/>
        <v>Arabia Saudí</v>
      </c>
      <c r="AP22" s="37">
        <f t="shared" si="7"/>
        <v>0</v>
      </c>
      <c r="AQ22" s="37">
        <f t="shared" si="8"/>
      </c>
      <c r="AR22" s="37">
        <f t="shared" si="9"/>
      </c>
      <c r="AS22" s="37">
        <f t="shared" si="10"/>
      </c>
      <c r="AT22" s="37">
        <f t="shared" si="11"/>
      </c>
      <c r="AU22" s="37" t="str">
        <f t="shared" si="12"/>
        <v>Túnez</v>
      </c>
      <c r="AV22" s="37">
        <f t="shared" si="13"/>
        <v>0</v>
      </c>
      <c r="AW22" s="37" t="str">
        <f t="shared" si="14"/>
        <v>Túnez</v>
      </c>
      <c r="AX22" s="37">
        <f t="shared" si="15"/>
        <v>0</v>
      </c>
      <c r="AY22" s="37" t="str">
        <f t="shared" si="16"/>
        <v>Arabia Saudí</v>
      </c>
      <c r="AZ22" s="37">
        <f t="shared" si="17"/>
        <v>0</v>
      </c>
      <c r="BA22" s="37" t="str">
        <f t="shared" si="18"/>
        <v>Arabia Saudí</v>
      </c>
      <c r="BB22" s="37">
        <f t="shared" si="19"/>
        <v>0</v>
      </c>
      <c r="BC22" s="37" t="s">
        <v>67</v>
      </c>
      <c r="BD22" s="37">
        <v>4</v>
      </c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</row>
    <row r="23" spans="1:102" ht="13.5" customHeight="1" thickBot="1">
      <c r="A23" s="22" t="str">
        <f>CONCATENATE(14+IF(GMT&gt;3,1,0)," ",INDEX(T,80,language))</f>
        <v>14 Jun</v>
      </c>
      <c r="B23" s="18">
        <f>TIME(20+GMT,0,0)</f>
        <v>0.7083333333333334</v>
      </c>
      <c r="C23" s="5" t="str">
        <f>P7</f>
        <v>Alemania</v>
      </c>
      <c r="D23" s="20"/>
      <c r="E23" s="20"/>
      <c r="F23" s="6" t="str">
        <f>P9</f>
        <v>Polonia</v>
      </c>
      <c r="H23" s="11" t="str">
        <f>VLOOKUP(2,O21:V24,2,FALSE)</f>
        <v>Serbia y Montenegro</v>
      </c>
      <c r="I23" s="12">
        <f>VLOOKUP(2,O21:V24,3,FALSE)</f>
        <v>0</v>
      </c>
      <c r="J23" s="12">
        <f>VLOOKUP(2,O21:V24,4,FALSE)</f>
        <v>0</v>
      </c>
      <c r="K23" s="12">
        <f>VLOOKUP(2,O21:V24,5,FALSE)</f>
        <v>0</v>
      </c>
      <c r="L23" s="12" t="str">
        <f>CONCATENATE(VLOOKUP(2,O21:V24,6,FALSE)," - ",VLOOKUP(2,O21:V24,7,FALSE))</f>
        <v>0 - 0</v>
      </c>
      <c r="M23" s="13">
        <f>VLOOKUP(2,O21:V24,8,FALSE)</f>
        <v>0</v>
      </c>
      <c r="O23" s="36">
        <f>IF(W23&gt;W21,1,0)+IF(W23&gt;W22,1,0)+IF(W23&gt;W23,1,0)+IF(W23&gt;W24,1,0)+1</f>
        <v>2</v>
      </c>
      <c r="P23" s="37" t="str">
        <f>INDEX(T,13,language)</f>
        <v>Serbia y Montenegro</v>
      </c>
      <c r="Q23" s="38">
        <f>COUNTIF(AQ7:AR54,CONCATENATE(P23,"_win"))</f>
        <v>0</v>
      </c>
      <c r="R23" s="38">
        <f>COUNTIF(AQ7:AR54,CONCATENATE(P23,"_draw"))</f>
        <v>0</v>
      </c>
      <c r="S23" s="38">
        <f>COUNTIF(AQ7:AR54,CONCATENATE(P23,"_lose"))</f>
        <v>0</v>
      </c>
      <c r="T23" s="38">
        <f>SUMIF(AM7:AM54,CONCATENATE("=",P23),AN7:AN54)+SUMIF(AI7:AI54,CONCATENATE("=",P23),AJ7:AJ54)</f>
        <v>0</v>
      </c>
      <c r="U23" s="38">
        <f>SUMIF(AO7:AO54,CONCATENATE("=",P23),AP7:AP54)+SUMIF(AK7:AK54,CONCATENATE("=",P23),AL7:AL54)</f>
        <v>0</v>
      </c>
      <c r="V23" s="38">
        <f>Q23*3+R23</f>
        <v>0</v>
      </c>
      <c r="W23" s="38">
        <f>0.2+T23+(T23-U23)*100+Q23*1000+V23*10000000+AF23*10000</f>
        <v>0.2</v>
      </c>
      <c r="X23" s="37">
        <f>IF(COUNTIF(V21:V24,CONCATENATE("=",V23))=1,0,COUNTIF(V21:V24,CONCATENATE("=",V23)))*V23</f>
        <v>0</v>
      </c>
      <c r="AA23" s="38">
        <f>IF(V23=Z21,1,0)</f>
        <v>1</v>
      </c>
      <c r="AB23" s="38">
        <f>COUNTIF(AS7:AT54,CONCATENATE(P23,"_win"))</f>
        <v>0</v>
      </c>
      <c r="AC23" s="38">
        <f>SUMIF(AY7:AY54,CONCATENATE("=",P23),AZ7:AZ54)+SUMIF(AU7:AU54,CONCATENATE("=",P23),AV7:AV54)</f>
        <v>0</v>
      </c>
      <c r="AD23" s="38">
        <f>SUMIF(BA7:BA54,CONCATENATE("=",P23),BB7:BB54)+SUMIF(AW7:AW54,CONCATENATE("=",P23),AX7:AX54)</f>
        <v>0</v>
      </c>
      <c r="AE23" s="37">
        <f>300*AB23+(AC23-AD23)*10+AC23</f>
        <v>0</v>
      </c>
      <c r="AF23" s="37">
        <f>IF(AE23&gt;0,AE23,0)</f>
        <v>0</v>
      </c>
      <c r="AH23" s="37">
        <f>VLOOKUP(F23,P7:AA59,12,FALSE)+VLOOKUP(C23,P7:AA59,12,FALSE)</f>
        <v>2</v>
      </c>
      <c r="AI23" s="37" t="str">
        <f t="shared" si="0"/>
        <v>Alemania</v>
      </c>
      <c r="AJ23" s="37">
        <f t="shared" si="1"/>
        <v>0</v>
      </c>
      <c r="AK23" s="37" t="str">
        <f t="shared" si="2"/>
        <v>Alemania</v>
      </c>
      <c r="AL23" s="37">
        <f t="shared" si="3"/>
        <v>0</v>
      </c>
      <c r="AM23" s="37" t="str">
        <f t="shared" si="4"/>
        <v>Polonia</v>
      </c>
      <c r="AN23" s="37">
        <f t="shared" si="5"/>
        <v>0</v>
      </c>
      <c r="AO23" s="37" t="str">
        <f t="shared" si="6"/>
        <v>Polonia</v>
      </c>
      <c r="AP23" s="37">
        <f t="shared" si="7"/>
        <v>0</v>
      </c>
      <c r="AQ23" s="37">
        <f t="shared" si="8"/>
      </c>
      <c r="AR23" s="37">
        <f t="shared" si="9"/>
      </c>
      <c r="AS23" s="37">
        <f t="shared" si="10"/>
      </c>
      <c r="AT23" s="37">
        <f t="shared" si="11"/>
      </c>
      <c r="AU23" s="37" t="str">
        <f t="shared" si="12"/>
        <v>Alemania</v>
      </c>
      <c r="AV23" s="37">
        <f t="shared" si="13"/>
        <v>0</v>
      </c>
      <c r="AW23" s="37" t="str">
        <f t="shared" si="14"/>
        <v>Alemania</v>
      </c>
      <c r="AX23" s="37">
        <f t="shared" si="15"/>
        <v>0</v>
      </c>
      <c r="AY23" s="37" t="str">
        <f t="shared" si="16"/>
        <v>Polonia</v>
      </c>
      <c r="AZ23" s="37">
        <f t="shared" si="17"/>
        <v>0</v>
      </c>
      <c r="BA23" s="37" t="str">
        <f t="shared" si="18"/>
        <v>Polonia</v>
      </c>
      <c r="BB23" s="37">
        <f t="shared" si="19"/>
        <v>0</v>
      </c>
      <c r="BC23" s="37" t="s">
        <v>68</v>
      </c>
      <c r="BD23" s="37">
        <v>5</v>
      </c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</row>
    <row r="24" spans="1:102" ht="13.5" customHeight="1" thickBot="1">
      <c r="A24" s="22" t="str">
        <f>CONCATENATE(15+IF(GMT&gt;9,1,0)," ",INDEX(T,80,language))</f>
        <v>15 Jun</v>
      </c>
      <c r="B24" s="18">
        <f>TIME(14+GMT,0,0)</f>
        <v>0.4583333333333333</v>
      </c>
      <c r="C24" s="10" t="str">
        <f>P10</f>
        <v>Ecuador</v>
      </c>
      <c r="D24" s="20"/>
      <c r="E24" s="20"/>
      <c r="F24" s="6" t="str">
        <f>P8</f>
        <v>Costa Rica</v>
      </c>
      <c r="H24" s="14" t="str">
        <f>VLOOKUP(1,O21:V24,2,FALSE)</f>
        <v>Holanda</v>
      </c>
      <c r="I24" s="15">
        <f>VLOOKUP(1,O21:V24,3,FALSE)</f>
        <v>0</v>
      </c>
      <c r="J24" s="15">
        <f>VLOOKUP(1,O21:V24,4,FALSE)</f>
        <v>0</v>
      </c>
      <c r="K24" s="15">
        <f>VLOOKUP(1,O21:V24,5,FALSE)</f>
        <v>0</v>
      </c>
      <c r="L24" s="15" t="str">
        <f>CONCATENATE(VLOOKUP(1,O21:V24,6,FALSE)," - ",VLOOKUP(1,O21:V24,7,FALSE))</f>
        <v>0 - 0</v>
      </c>
      <c r="M24" s="16">
        <f>VLOOKUP(1,O21:V24,8,FALSE)</f>
        <v>0</v>
      </c>
      <c r="O24" s="36">
        <f>IF(W24&gt;W21,1,0)+IF(W24&gt;W22,1,0)+IF(W24&gt;W23,1,0)+IF(W24&gt;W24,1,0)+1</f>
        <v>1</v>
      </c>
      <c r="P24" s="37" t="str">
        <f>INDEX(T,14,language)</f>
        <v>Holanda</v>
      </c>
      <c r="Q24" s="38">
        <f>COUNTIF(AQ7:AR54,CONCATENATE(P24,"_win"))</f>
        <v>0</v>
      </c>
      <c r="R24" s="38">
        <f>COUNTIF(AQ7:AR54,CONCATENATE(P24,"_draw"))</f>
        <v>0</v>
      </c>
      <c r="S24" s="38">
        <f>COUNTIF(AQ7:AR54,CONCATENATE(P24,"_lose"))</f>
        <v>0</v>
      </c>
      <c r="T24" s="38">
        <f>SUMIF(AM7:AM54,CONCATENATE("=",P24),AN7:AN54)+SUMIF(AI7:AI54,CONCATENATE("=",P24),AJ7:AJ54)</f>
        <v>0</v>
      </c>
      <c r="U24" s="38">
        <f>SUMIF(AO7:AO54,CONCATENATE("=",P24),AP7:AP54)+SUMIF(AK7:AK54,CONCATENATE("=",P24),AL7:AL54)</f>
        <v>0</v>
      </c>
      <c r="V24" s="38">
        <f>Q24*3+R24</f>
        <v>0</v>
      </c>
      <c r="W24" s="38">
        <f>0.1+T24+(T24-U24)*100+Q24*1000+V24*10000000+AF24*10000</f>
        <v>0.1</v>
      </c>
      <c r="X24" s="37">
        <f>IF(COUNTIF(V21:V24,CONCATENATE("=",V24))=1,0,COUNTIF(V21:V24,CONCATENATE("=",V24)))*V24</f>
        <v>0</v>
      </c>
      <c r="AA24" s="38">
        <f>IF(V24=Z21,1,0)</f>
        <v>1</v>
      </c>
      <c r="AB24" s="38">
        <f>COUNTIF(AS7:AT54,CONCATENATE(P24,"_win"))</f>
        <v>0</v>
      </c>
      <c r="AC24" s="38">
        <f>SUMIF(AY7:AY54,CONCATENATE("=",P24),AZ7:AZ54)+SUMIF(AU7:AU54,CONCATENATE("=",P24),AV7:AV54)</f>
        <v>0</v>
      </c>
      <c r="AD24" s="38">
        <f>SUMIF(BA7:BA54,CONCATENATE("=",P24),BB7:BB54)+SUMIF(AW7:AW54,CONCATENATE("=",P24),AX7:AX54)</f>
        <v>0</v>
      </c>
      <c r="AE24" s="37">
        <f>300*AB24+(AC24-AD24)*10+AC24</f>
        <v>0</v>
      </c>
      <c r="AF24" s="37">
        <f>IF(AE24&gt;0,AE24,0)</f>
        <v>0</v>
      </c>
      <c r="AH24" s="37">
        <f>VLOOKUP(F24,P7:AA59,12,FALSE)+VLOOKUP(C24,P7:AA59,12,FALSE)</f>
        <v>2</v>
      </c>
      <c r="AI24" s="37" t="str">
        <f t="shared" si="0"/>
        <v>Ecuador</v>
      </c>
      <c r="AJ24" s="37">
        <f t="shared" si="1"/>
        <v>0</v>
      </c>
      <c r="AK24" s="37" t="str">
        <f t="shared" si="2"/>
        <v>Ecuador</v>
      </c>
      <c r="AL24" s="37">
        <f t="shared" si="3"/>
        <v>0</v>
      </c>
      <c r="AM24" s="37" t="str">
        <f t="shared" si="4"/>
        <v>Costa Rica</v>
      </c>
      <c r="AN24" s="37">
        <f t="shared" si="5"/>
        <v>0</v>
      </c>
      <c r="AO24" s="37" t="str">
        <f t="shared" si="6"/>
        <v>Costa Rica</v>
      </c>
      <c r="AP24" s="37">
        <f t="shared" si="7"/>
        <v>0</v>
      </c>
      <c r="AQ24" s="37">
        <f t="shared" si="8"/>
      </c>
      <c r="AR24" s="37">
        <f t="shared" si="9"/>
      </c>
      <c r="AS24" s="37">
        <f t="shared" si="10"/>
      </c>
      <c r="AT24" s="37">
        <f t="shared" si="11"/>
      </c>
      <c r="AU24" s="37" t="str">
        <f t="shared" si="12"/>
        <v>Ecuador</v>
      </c>
      <c r="AV24" s="37">
        <f t="shared" si="13"/>
        <v>0</v>
      </c>
      <c r="AW24" s="37" t="str">
        <f t="shared" si="14"/>
        <v>Ecuador</v>
      </c>
      <c r="AX24" s="37">
        <f t="shared" si="15"/>
        <v>0</v>
      </c>
      <c r="AY24" s="37" t="str">
        <f t="shared" si="16"/>
        <v>Costa Rica</v>
      </c>
      <c r="AZ24" s="37">
        <f t="shared" si="17"/>
        <v>0</v>
      </c>
      <c r="BA24" s="37" t="str">
        <f t="shared" si="18"/>
        <v>Costa Rica</v>
      </c>
      <c r="BB24" s="37">
        <f t="shared" si="19"/>
        <v>0</v>
      </c>
      <c r="BC24" s="37" t="s">
        <v>69</v>
      </c>
      <c r="BD24" s="37">
        <v>6</v>
      </c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</row>
    <row r="25" spans="1:102" ht="13.5" customHeight="1" thickBot="1">
      <c r="A25" s="22" t="str">
        <f>CONCATENATE(15+IF(GMT&gt;6,1,0)," ",INDEX(T,80,language))</f>
        <v>15 Jun</v>
      </c>
      <c r="B25" s="18">
        <f>TIME(17+GMT,0,0)</f>
        <v>0.5833333333333334</v>
      </c>
      <c r="C25" s="10" t="str">
        <f>P14</f>
        <v>Inglaterra</v>
      </c>
      <c r="D25" s="20"/>
      <c r="E25" s="20"/>
      <c r="F25" s="6" t="str">
        <f>P16</f>
        <v>Trinidad y Tobago</v>
      </c>
      <c r="X25" s="37">
        <f>MAX(X21:X24)</f>
        <v>0</v>
      </c>
      <c r="AH25" s="37">
        <f>VLOOKUP(F25,P7:AA59,12,FALSE)+VLOOKUP(C25,P7:AA59,12,FALSE)</f>
        <v>2</v>
      </c>
      <c r="AI25" s="37" t="str">
        <f t="shared" si="0"/>
        <v>Inglaterra</v>
      </c>
      <c r="AJ25" s="37">
        <f t="shared" si="1"/>
        <v>0</v>
      </c>
      <c r="AK25" s="37" t="str">
        <f t="shared" si="2"/>
        <v>Inglaterra</v>
      </c>
      <c r="AL25" s="37">
        <f t="shared" si="3"/>
        <v>0</v>
      </c>
      <c r="AM25" s="37" t="str">
        <f t="shared" si="4"/>
        <v>Trinidad y Tobago</v>
      </c>
      <c r="AN25" s="37">
        <f t="shared" si="5"/>
        <v>0</v>
      </c>
      <c r="AO25" s="37" t="str">
        <f t="shared" si="6"/>
        <v>Trinidad y Tobago</v>
      </c>
      <c r="AP25" s="37">
        <f t="shared" si="7"/>
        <v>0</v>
      </c>
      <c r="AQ25" s="37">
        <f t="shared" si="8"/>
      </c>
      <c r="AR25" s="37">
        <f t="shared" si="9"/>
      </c>
      <c r="AS25" s="37">
        <f t="shared" si="10"/>
      </c>
      <c r="AT25" s="37">
        <f t="shared" si="11"/>
      </c>
      <c r="AU25" s="37" t="str">
        <f t="shared" si="12"/>
        <v>Inglaterra</v>
      </c>
      <c r="AV25" s="37">
        <f t="shared" si="13"/>
        <v>0</v>
      </c>
      <c r="AW25" s="37" t="str">
        <f t="shared" si="14"/>
        <v>Inglaterra</v>
      </c>
      <c r="AX25" s="37">
        <f t="shared" si="15"/>
        <v>0</v>
      </c>
      <c r="AY25" s="37" t="str">
        <f t="shared" si="16"/>
        <v>Trinidad y Tobago</v>
      </c>
      <c r="AZ25" s="37">
        <f t="shared" si="17"/>
        <v>0</v>
      </c>
      <c r="BA25" s="37" t="str">
        <f t="shared" si="18"/>
        <v>Trinidad y Tobago</v>
      </c>
      <c r="BB25" s="37">
        <f t="shared" si="19"/>
        <v>0</v>
      </c>
      <c r="BC25" s="37" t="s">
        <v>70</v>
      </c>
      <c r="BD25" s="37">
        <v>7</v>
      </c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</row>
    <row r="26" spans="1:102" ht="13.5" customHeight="1" thickBot="1">
      <c r="A26" s="22" t="str">
        <f>CONCATENATE(15+IF(GMT&gt;3,1,0)," ",INDEX(T,80,language))</f>
        <v>15 Jun</v>
      </c>
      <c r="B26" s="18">
        <f>TIME(20+GMT,0,0)</f>
        <v>0.7083333333333334</v>
      </c>
      <c r="C26" s="10" t="str">
        <f>P17</f>
        <v>Suecia</v>
      </c>
      <c r="D26" s="20"/>
      <c r="E26" s="20"/>
      <c r="F26" s="6" t="str">
        <f>P15</f>
        <v>Paraguay</v>
      </c>
      <c r="H26" s="56" t="str">
        <f>CONCATENATE(INDEX(T,40,language)," D")</f>
        <v>Grupo D</v>
      </c>
      <c r="I26" s="58" t="str">
        <f>INDEX(T,35,language)</f>
        <v>PG</v>
      </c>
      <c r="J26" s="58" t="str">
        <f>INDEX(T,36,language)</f>
        <v>PE</v>
      </c>
      <c r="K26" s="58" t="str">
        <f>INDEX(T,37,language)</f>
        <v>PP</v>
      </c>
      <c r="L26" s="58" t="str">
        <f>INDEX(T,38,language)</f>
        <v>Gf - Gv</v>
      </c>
      <c r="M26" s="60" t="str">
        <f>INDEX(T,39,language)</f>
        <v>Pts</v>
      </c>
      <c r="AH26" s="37">
        <f>VLOOKUP(F26,P7:AA59,12,FALSE)+VLOOKUP(C26,P7:AA59,12,FALSE)</f>
        <v>2</v>
      </c>
      <c r="AI26" s="37" t="str">
        <f t="shared" si="0"/>
        <v>Suecia</v>
      </c>
      <c r="AJ26" s="37">
        <f t="shared" si="1"/>
        <v>0</v>
      </c>
      <c r="AK26" s="37" t="str">
        <f t="shared" si="2"/>
        <v>Suecia</v>
      </c>
      <c r="AL26" s="37">
        <f t="shared" si="3"/>
        <v>0</v>
      </c>
      <c r="AM26" s="37" t="str">
        <f t="shared" si="4"/>
        <v>Paraguay</v>
      </c>
      <c r="AN26" s="37">
        <f t="shared" si="5"/>
        <v>0</v>
      </c>
      <c r="AO26" s="37" t="str">
        <f t="shared" si="6"/>
        <v>Paraguay</v>
      </c>
      <c r="AP26" s="37">
        <f t="shared" si="7"/>
        <v>0</v>
      </c>
      <c r="AQ26" s="37">
        <f t="shared" si="8"/>
      </c>
      <c r="AR26" s="37">
        <f t="shared" si="9"/>
      </c>
      <c r="AS26" s="37">
        <f t="shared" si="10"/>
      </c>
      <c r="AT26" s="37">
        <f t="shared" si="11"/>
      </c>
      <c r="AU26" s="37" t="str">
        <f t="shared" si="12"/>
        <v>Suecia</v>
      </c>
      <c r="AV26" s="37">
        <f t="shared" si="13"/>
        <v>0</v>
      </c>
      <c r="AW26" s="37" t="str">
        <f t="shared" si="14"/>
        <v>Suecia</v>
      </c>
      <c r="AX26" s="37">
        <f t="shared" si="15"/>
        <v>0</v>
      </c>
      <c r="AY26" s="37" t="str">
        <f t="shared" si="16"/>
        <v>Paraguay</v>
      </c>
      <c r="AZ26" s="37">
        <f t="shared" si="17"/>
        <v>0</v>
      </c>
      <c r="BA26" s="37" t="str">
        <f t="shared" si="18"/>
        <v>Paraguay</v>
      </c>
      <c r="BB26" s="37">
        <f t="shared" si="19"/>
        <v>0</v>
      </c>
      <c r="BC26" s="37" t="s">
        <v>71</v>
      </c>
      <c r="BD26" s="37">
        <v>8</v>
      </c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</row>
    <row r="27" spans="1:102" ht="13.5" customHeight="1" thickBot="1">
      <c r="A27" s="22" t="str">
        <f>CONCATENATE(16+IF(GMT&gt;9,1,0)," ",INDEX(T,80,language))</f>
        <v>16 Jun</v>
      </c>
      <c r="B27" s="18">
        <f>TIME(14+GMT,0,0)</f>
        <v>0.4583333333333333</v>
      </c>
      <c r="C27" s="10" t="str">
        <f>P21</f>
        <v>Argentina</v>
      </c>
      <c r="D27" s="20"/>
      <c r="E27" s="20"/>
      <c r="F27" s="6" t="str">
        <f>P23</f>
        <v>Serbia y Montenegro</v>
      </c>
      <c r="H27" s="57"/>
      <c r="I27" s="59"/>
      <c r="J27" s="59"/>
      <c r="K27" s="59"/>
      <c r="L27" s="59"/>
      <c r="M27" s="61"/>
      <c r="AH27" s="37">
        <f>VLOOKUP(F27,P7:AA59,12,FALSE)+VLOOKUP(C27,P7:AA59,12,FALSE)</f>
        <v>2</v>
      </c>
      <c r="AI27" s="37" t="str">
        <f t="shared" si="0"/>
        <v>Argentina</v>
      </c>
      <c r="AJ27" s="37">
        <f t="shared" si="1"/>
        <v>0</v>
      </c>
      <c r="AK27" s="37" t="str">
        <f t="shared" si="2"/>
        <v>Argentina</v>
      </c>
      <c r="AL27" s="37">
        <f t="shared" si="3"/>
        <v>0</v>
      </c>
      <c r="AM27" s="37" t="str">
        <f t="shared" si="4"/>
        <v>Serbia y Montenegro</v>
      </c>
      <c r="AN27" s="37">
        <f t="shared" si="5"/>
        <v>0</v>
      </c>
      <c r="AO27" s="37" t="str">
        <f t="shared" si="6"/>
        <v>Serbia y Montenegro</v>
      </c>
      <c r="AP27" s="37">
        <f t="shared" si="7"/>
        <v>0</v>
      </c>
      <c r="AQ27" s="37">
        <f t="shared" si="8"/>
      </c>
      <c r="AR27" s="37">
        <f t="shared" si="9"/>
      </c>
      <c r="AS27" s="37">
        <f t="shared" si="10"/>
      </c>
      <c r="AT27" s="37">
        <f t="shared" si="11"/>
      </c>
      <c r="AU27" s="37" t="str">
        <f t="shared" si="12"/>
        <v>Argentina</v>
      </c>
      <c r="AV27" s="37">
        <f t="shared" si="13"/>
        <v>0</v>
      </c>
      <c r="AW27" s="37" t="str">
        <f t="shared" si="14"/>
        <v>Argentina</v>
      </c>
      <c r="AX27" s="37">
        <f t="shared" si="15"/>
        <v>0</v>
      </c>
      <c r="AY27" s="37" t="str">
        <f t="shared" si="16"/>
        <v>Serbia y Montenegro</v>
      </c>
      <c r="AZ27" s="37">
        <f t="shared" si="17"/>
        <v>0</v>
      </c>
      <c r="BA27" s="37" t="str">
        <f t="shared" si="18"/>
        <v>Serbia y Montenegro</v>
      </c>
      <c r="BB27" s="37">
        <f t="shared" si="19"/>
        <v>0</v>
      </c>
      <c r="BC27" s="37" t="s">
        <v>72</v>
      </c>
      <c r="BD27" s="37">
        <v>9</v>
      </c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</row>
    <row r="28" spans="1:102" ht="13.5" customHeight="1" thickBot="1">
      <c r="A28" s="22" t="str">
        <f>CONCATENATE(16+IF(GMT&gt;6,1,0)," ",INDEX(T,80,language))</f>
        <v>16 Jun</v>
      </c>
      <c r="B28" s="18">
        <f>TIME(17+GMT,0,0)</f>
        <v>0.5833333333333334</v>
      </c>
      <c r="C28" s="10" t="str">
        <f>P24</f>
        <v>Holanda</v>
      </c>
      <c r="D28" s="20"/>
      <c r="E28" s="20"/>
      <c r="F28" s="6" t="str">
        <f>P22</f>
        <v>Costa de Marfil</v>
      </c>
      <c r="H28" s="7" t="str">
        <f>VLOOKUP(4,O28:V31,2,FALSE)</f>
        <v>México</v>
      </c>
      <c r="I28" s="8">
        <f>VLOOKUP(4,O28:V31,3,FALSE)</f>
        <v>0</v>
      </c>
      <c r="J28" s="8">
        <f>VLOOKUP(4,O28:V31,4,FALSE)</f>
        <v>0</v>
      </c>
      <c r="K28" s="8">
        <f>VLOOKUP(4,O28:V31,5,FALSE)</f>
        <v>0</v>
      </c>
      <c r="L28" s="8" t="str">
        <f>CONCATENATE(VLOOKUP(4,O28:V31,6,FALSE)," - ",VLOOKUP(4,O28:V31,7,FALSE))</f>
        <v>0 - 0</v>
      </c>
      <c r="M28" s="9">
        <f>VLOOKUP(4,O28:V31,8,FALSE)</f>
        <v>0</v>
      </c>
      <c r="O28" s="36">
        <f>IF(W28&gt;W28,1,0)+IF(W28&gt;W29,1,0)+IF(W28&gt;W30,1,0)+IF(W28&gt;W31,1,0)+1</f>
        <v>4</v>
      </c>
      <c r="P28" s="37" t="str">
        <f>INDEX(T,15,language)</f>
        <v>México</v>
      </c>
      <c r="Q28" s="38">
        <f>COUNTIF(AQ7:AR54,CONCATENATE(P28,"_win"))</f>
        <v>0</v>
      </c>
      <c r="R28" s="38">
        <f>COUNTIF(AQ7:AR54,CONCATENATE(P28,"_draw"))</f>
        <v>0</v>
      </c>
      <c r="S28" s="38">
        <f>COUNTIF(AQ7:AR54,CONCATENATE(P28,"_lose"))</f>
        <v>0</v>
      </c>
      <c r="T28" s="38">
        <f>SUMIF(AM7:AM54,CONCATENATE("=",P28),AN7:AN54)+SUMIF(AI7:AI54,CONCATENATE("=",P28),AJ7:AJ54)</f>
        <v>0</v>
      </c>
      <c r="U28" s="38">
        <f>SUMIF(AO7:AO54,CONCATENATE("=",P28),AP7:AP54)+SUMIF(AK7:AK54,CONCATENATE("=",P28),AL7:AL54)</f>
        <v>0</v>
      </c>
      <c r="V28" s="38">
        <f>Q28*3+R28</f>
        <v>0</v>
      </c>
      <c r="W28" s="38">
        <f>0.4+T28+(T28-U28)*100+Q28*1000+V28*10000000+AF28*10000</f>
        <v>0.4</v>
      </c>
      <c r="X28" s="37">
        <f>IF(COUNTIF(V28:V31,CONCATENATE("=",V28))=1,0,COUNTIF(V28:V31,CONCATENATE("=",V28)))*V28</f>
        <v>0</v>
      </c>
      <c r="Y28" s="37" t="str">
        <f>IF(SUM(Q28:S31)=12,H28,INDEX(T,54,language))</f>
        <v>Primero del Grupo D</v>
      </c>
      <c r="Z28" s="38">
        <f>IF(X28=X32,V28,IF(X29=X32,V29,IF(X30=X32,V30,V31)))</f>
        <v>0</v>
      </c>
      <c r="AA28" s="38">
        <f>IF(V28=Z28,1,0)</f>
        <v>1</v>
      </c>
      <c r="AB28" s="38">
        <f>COUNTIF(AS7:AT54,CONCATENATE(P28,"_win"))</f>
        <v>0</v>
      </c>
      <c r="AC28" s="38">
        <f>SUMIF(AY7:AY54,CONCATENATE("=",P28),AZ7:AZ54)+SUMIF(AU7:AU54,CONCATENATE("=",P28),AV7:AV54)</f>
        <v>0</v>
      </c>
      <c r="AD28" s="38">
        <f>SUMIF(BA7:BA54,CONCATENATE("=",P28),BB7:BB54)+SUMIF(AW7:AW54,CONCATENATE("=",P28),AX7:AX54)</f>
        <v>0</v>
      </c>
      <c r="AE28" s="37">
        <f>300*AB28+(AC28-AD28)*10+AC28</f>
        <v>0</v>
      </c>
      <c r="AF28" s="37">
        <f>IF(AE28&gt;0,AE28,0)</f>
        <v>0</v>
      </c>
      <c r="AH28" s="37">
        <f>VLOOKUP(F28,P7:AA59,12,FALSE)+VLOOKUP(C28,P7:AA59,12,FALSE)</f>
        <v>2</v>
      </c>
      <c r="AI28" s="37" t="str">
        <f t="shared" si="0"/>
        <v>Holanda</v>
      </c>
      <c r="AJ28" s="37">
        <f t="shared" si="1"/>
        <v>0</v>
      </c>
      <c r="AK28" s="37" t="str">
        <f t="shared" si="2"/>
        <v>Holanda</v>
      </c>
      <c r="AL28" s="37">
        <f t="shared" si="3"/>
        <v>0</v>
      </c>
      <c r="AM28" s="37" t="str">
        <f t="shared" si="4"/>
        <v>Costa de Marfil</v>
      </c>
      <c r="AN28" s="37">
        <f t="shared" si="5"/>
        <v>0</v>
      </c>
      <c r="AO28" s="37" t="str">
        <f t="shared" si="6"/>
        <v>Costa de Marfil</v>
      </c>
      <c r="AP28" s="37">
        <f t="shared" si="7"/>
        <v>0</v>
      </c>
      <c r="AQ28" s="37">
        <f t="shared" si="8"/>
      </c>
      <c r="AR28" s="37">
        <f t="shared" si="9"/>
      </c>
      <c r="AS28" s="37">
        <f t="shared" si="10"/>
      </c>
      <c r="AT28" s="37">
        <f t="shared" si="11"/>
      </c>
      <c r="AU28" s="37" t="str">
        <f t="shared" si="12"/>
        <v>Holanda</v>
      </c>
      <c r="AV28" s="37">
        <f t="shared" si="13"/>
        <v>0</v>
      </c>
      <c r="AW28" s="37" t="str">
        <f t="shared" si="14"/>
        <v>Holanda</v>
      </c>
      <c r="AX28" s="37">
        <f t="shared" si="15"/>
        <v>0</v>
      </c>
      <c r="AY28" s="37" t="str">
        <f t="shared" si="16"/>
        <v>Costa de Marfil</v>
      </c>
      <c r="AZ28" s="37">
        <f t="shared" si="17"/>
        <v>0</v>
      </c>
      <c r="BA28" s="37" t="str">
        <f t="shared" si="18"/>
        <v>Costa de Marfil</v>
      </c>
      <c r="BB28" s="37">
        <f t="shared" si="19"/>
        <v>0</v>
      </c>
      <c r="BC28" s="37" t="s">
        <v>73</v>
      </c>
      <c r="BD28" s="37">
        <v>10</v>
      </c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</row>
    <row r="29" spans="1:102" ht="13.5" customHeight="1" thickBot="1">
      <c r="A29" s="22" t="str">
        <f>CONCATENATE(16+IF(GMT&gt;3,1,0)," ",INDEX(T,80,language))</f>
        <v>16 Jun</v>
      </c>
      <c r="B29" s="18">
        <f>TIME(20+GMT,0,0)</f>
        <v>0.7083333333333334</v>
      </c>
      <c r="C29" s="10" t="str">
        <f>P28</f>
        <v>México</v>
      </c>
      <c r="D29" s="20"/>
      <c r="E29" s="20"/>
      <c r="F29" s="6" t="str">
        <f>P30</f>
        <v>Angola</v>
      </c>
      <c r="H29" s="11" t="str">
        <f>VLOOKUP(3,O28:V31,2,FALSE)</f>
        <v>Irán</v>
      </c>
      <c r="I29" s="12">
        <f>VLOOKUP(3,O28:V31,3,FALSE)</f>
        <v>0</v>
      </c>
      <c r="J29" s="12">
        <f>VLOOKUP(3,O28:V31,4,FALSE)</f>
        <v>0</v>
      </c>
      <c r="K29" s="12">
        <f>VLOOKUP(3,O28:V31,5,FALSE)</f>
        <v>0</v>
      </c>
      <c r="L29" s="12" t="str">
        <f>CONCATENATE(VLOOKUP(3,O28:V31,6,FALSE)," - ",VLOOKUP(3,O28:V31,7,FALSE))</f>
        <v>0 - 0</v>
      </c>
      <c r="M29" s="13">
        <f>VLOOKUP(3,O28:V31,8,FALSE)</f>
        <v>0</v>
      </c>
      <c r="O29" s="36">
        <f>IF(W29&gt;W28,1,0)+IF(W29&gt;W29,1,0)+IF(W29&gt;W30,1,0)+IF(W29&gt;W31,1,0)+1</f>
        <v>3</v>
      </c>
      <c r="P29" s="37" t="str">
        <f>INDEX(T,16,language)</f>
        <v>Irán</v>
      </c>
      <c r="Q29" s="38">
        <f>COUNTIF(AQ7:AR54,CONCATENATE(P29,"_win"))</f>
        <v>0</v>
      </c>
      <c r="R29" s="38">
        <f>COUNTIF(AQ7:AR54,CONCATENATE(P29,"_draw"))</f>
        <v>0</v>
      </c>
      <c r="S29" s="38">
        <f>COUNTIF(AQ7:AR54,CONCATENATE(P29,"_lose"))</f>
        <v>0</v>
      </c>
      <c r="T29" s="38">
        <f>SUMIF(AM7:AM54,CONCATENATE("=",P29),AN7:AN54)+SUMIF(AI7:AI54,CONCATENATE("=",P29),AJ7:AJ54)</f>
        <v>0</v>
      </c>
      <c r="U29" s="38">
        <f>SUMIF(AO7:AO54,CONCATENATE("=",P29),AP7:AP54)+SUMIF(AK7:AK54,CONCATENATE("=",P29),AL7:AL54)</f>
        <v>0</v>
      </c>
      <c r="V29" s="38">
        <f>Q29*3+R29</f>
        <v>0</v>
      </c>
      <c r="W29" s="38">
        <f>0.3+T29+(T29-U29)*100+Q29*1000+V29*10000000+AF29*10000</f>
        <v>0.3</v>
      </c>
      <c r="X29" s="37">
        <f>IF(COUNTIF(V28:V31,CONCATENATE("=",V29))=1,0,COUNTIF(V28:V31,CONCATENATE("=",V29)))*V29</f>
        <v>0</v>
      </c>
      <c r="Y29" s="37" t="str">
        <f>IF(SUM(Q28:S31)=12,H29,INDEX(T,55,language))</f>
        <v>Segundo del Grupo D</v>
      </c>
      <c r="AA29" s="38">
        <f>IF(V29=Z28,1,0)</f>
        <v>1</v>
      </c>
      <c r="AB29" s="38">
        <f>COUNTIF(AS7:AT54,CONCATENATE(P29,"_win"))</f>
        <v>0</v>
      </c>
      <c r="AC29" s="38">
        <f>SUMIF(AY7:AY54,CONCATENATE("=",P29),AZ7:AZ54)+SUMIF(AU7:AU54,CONCATENATE("=",P29),AV7:AV54)</f>
        <v>0</v>
      </c>
      <c r="AD29" s="38">
        <f>SUMIF(BA7:BA54,CONCATENATE("=",P29),BB7:BB54)+SUMIF(AW7:AW54,CONCATENATE("=",P29),AX7:AX54)</f>
        <v>0</v>
      </c>
      <c r="AE29" s="37">
        <f>300*AB29+(AC29-AD29)*10+AC29</f>
        <v>0</v>
      </c>
      <c r="AF29" s="37">
        <f>IF(AE29&gt;0,AE29,0)</f>
        <v>0</v>
      </c>
      <c r="AH29" s="37">
        <f>VLOOKUP(F29,P7:AA59,12,FALSE)+VLOOKUP(C29,P7:AA59,12,FALSE)</f>
        <v>2</v>
      </c>
      <c r="AI29" s="37" t="str">
        <f t="shared" si="0"/>
        <v>México</v>
      </c>
      <c r="AJ29" s="37">
        <f t="shared" si="1"/>
        <v>0</v>
      </c>
      <c r="AK29" s="37" t="str">
        <f t="shared" si="2"/>
        <v>México</v>
      </c>
      <c r="AL29" s="37">
        <f t="shared" si="3"/>
        <v>0</v>
      </c>
      <c r="AM29" s="37" t="str">
        <f t="shared" si="4"/>
        <v>Angola</v>
      </c>
      <c r="AN29" s="37">
        <f t="shared" si="5"/>
        <v>0</v>
      </c>
      <c r="AO29" s="37" t="str">
        <f t="shared" si="6"/>
        <v>Angola</v>
      </c>
      <c r="AP29" s="37">
        <f t="shared" si="7"/>
        <v>0</v>
      </c>
      <c r="AQ29" s="37">
        <f t="shared" si="8"/>
      </c>
      <c r="AR29" s="37">
        <f t="shared" si="9"/>
      </c>
      <c r="AS29" s="37">
        <f t="shared" si="10"/>
      </c>
      <c r="AT29" s="37">
        <f t="shared" si="11"/>
      </c>
      <c r="AU29" s="37" t="str">
        <f t="shared" si="12"/>
        <v>México</v>
      </c>
      <c r="AV29" s="37">
        <f t="shared" si="13"/>
        <v>0</v>
      </c>
      <c r="AW29" s="37" t="str">
        <f t="shared" si="14"/>
        <v>México</v>
      </c>
      <c r="AX29" s="37">
        <f t="shared" si="15"/>
        <v>0</v>
      </c>
      <c r="AY29" s="37" t="str">
        <f t="shared" si="16"/>
        <v>Angola</v>
      </c>
      <c r="AZ29" s="37">
        <f t="shared" si="17"/>
        <v>0</v>
      </c>
      <c r="BA29" s="37" t="str">
        <f t="shared" si="18"/>
        <v>Angola</v>
      </c>
      <c r="BB29" s="37">
        <f t="shared" si="19"/>
        <v>0</v>
      </c>
      <c r="BC29" s="37" t="s">
        <v>74</v>
      </c>
      <c r="BD29" s="37">
        <v>11</v>
      </c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</row>
    <row r="30" spans="1:102" ht="13.5" customHeight="1" thickBot="1">
      <c r="A30" s="22" t="str">
        <f>CONCATENATE(17+IF(GMT&gt;9,1,0)," ",INDEX(T,80,language))</f>
        <v>17 Jun</v>
      </c>
      <c r="B30" s="18">
        <f>TIME(14+GMT,0,0)</f>
        <v>0.4583333333333333</v>
      </c>
      <c r="C30" s="10" t="str">
        <f>P31</f>
        <v>Portugal</v>
      </c>
      <c r="D30" s="20"/>
      <c r="E30" s="20"/>
      <c r="F30" s="6" t="str">
        <f>P29</f>
        <v>Irán</v>
      </c>
      <c r="H30" s="11" t="str">
        <f>VLOOKUP(2,O28:V31,2,FALSE)</f>
        <v>Angola</v>
      </c>
      <c r="I30" s="12">
        <f>VLOOKUP(2,O28:V31,3,FALSE)</f>
        <v>0</v>
      </c>
      <c r="J30" s="12">
        <f>VLOOKUP(2,O28:V31,4,FALSE)</f>
        <v>0</v>
      </c>
      <c r="K30" s="12">
        <f>VLOOKUP(2,O28:V31,5,FALSE)</f>
        <v>0</v>
      </c>
      <c r="L30" s="12" t="str">
        <f>CONCATENATE(VLOOKUP(2,O28:V31,6,FALSE)," - ",VLOOKUP(2,O28:V31,7,FALSE))</f>
        <v>0 - 0</v>
      </c>
      <c r="M30" s="13">
        <f>VLOOKUP(2,O28:V31,8,FALSE)</f>
        <v>0</v>
      </c>
      <c r="O30" s="36">
        <f>IF(W30&gt;W28,1,0)+IF(W30&gt;W29,1,0)+IF(W30&gt;W30,1,0)+IF(W30&gt;W31,1,0)+1</f>
        <v>2</v>
      </c>
      <c r="P30" s="37" t="str">
        <f>INDEX(T,17,language)</f>
        <v>Angola</v>
      </c>
      <c r="Q30" s="38">
        <f>COUNTIF(AQ7:AR54,CONCATENATE(P30,"_win"))</f>
        <v>0</v>
      </c>
      <c r="R30" s="38">
        <f>COUNTIF(AQ7:AR54,CONCATENATE(P30,"_draw"))</f>
        <v>0</v>
      </c>
      <c r="S30" s="38">
        <f>COUNTIF(AQ7:AR54,CONCATENATE(P30,"_lose"))</f>
        <v>0</v>
      </c>
      <c r="T30" s="38">
        <f>SUMIF(AM7:AM54,CONCATENATE("=",P30),AN7:AN54)+SUMIF(AI7:AI54,CONCATENATE("=",P30),AJ7:AJ54)</f>
        <v>0</v>
      </c>
      <c r="U30" s="38">
        <f>SUMIF(AO7:AO54,CONCATENATE("=",P30),AP7:AP54)+SUMIF(AK7:AK54,CONCATENATE("=",P30),AL7:AL54)</f>
        <v>0</v>
      </c>
      <c r="V30" s="38">
        <f>Q30*3+R30</f>
        <v>0</v>
      </c>
      <c r="W30" s="38">
        <f>0.2+T30+(T30-U30)*100+Q30*1000+V30*10000000+AF30*10000</f>
        <v>0.2</v>
      </c>
      <c r="X30" s="37">
        <f>IF(COUNTIF(V28:V31,CONCATENATE("=",V30))=1,0,COUNTIF(V28:V31,CONCATENATE("=",V30)))*V30</f>
        <v>0</v>
      </c>
      <c r="AA30" s="38">
        <f>IF(V30=Z28,1,0)</f>
        <v>1</v>
      </c>
      <c r="AB30" s="38">
        <f>COUNTIF(AS7:AT54,CONCATENATE(P30,"_win"))</f>
        <v>0</v>
      </c>
      <c r="AC30" s="38">
        <f>SUMIF(AY7:AY54,CONCATENATE("=",P30),AZ7:AZ54)+SUMIF(AU7:AU54,CONCATENATE("=",P30),AV7:AV54)</f>
        <v>0</v>
      </c>
      <c r="AD30" s="38">
        <f>SUMIF(BA7:BA54,CONCATENATE("=",P30),BB7:BB54)+SUMIF(AW7:AW54,CONCATENATE("=",P30),AX7:AX54)</f>
        <v>0</v>
      </c>
      <c r="AE30" s="37">
        <f>300*AB30+(AC30-AD30)*10+AC30</f>
        <v>0</v>
      </c>
      <c r="AF30" s="37">
        <f>IF(AE30&gt;0,AE30,0)</f>
        <v>0</v>
      </c>
      <c r="AH30" s="37">
        <f>VLOOKUP(F30,P7:AA59,12,FALSE)+VLOOKUP(C30,P7:AA59,12,FALSE)</f>
        <v>2</v>
      </c>
      <c r="AI30" s="37" t="str">
        <f t="shared" si="0"/>
        <v>Portugal</v>
      </c>
      <c r="AJ30" s="37">
        <f t="shared" si="1"/>
        <v>0</v>
      </c>
      <c r="AK30" s="37" t="str">
        <f t="shared" si="2"/>
        <v>Portugal</v>
      </c>
      <c r="AL30" s="37">
        <f t="shared" si="3"/>
        <v>0</v>
      </c>
      <c r="AM30" s="37" t="str">
        <f t="shared" si="4"/>
        <v>Irán</v>
      </c>
      <c r="AN30" s="37">
        <f t="shared" si="5"/>
        <v>0</v>
      </c>
      <c r="AO30" s="37" t="str">
        <f t="shared" si="6"/>
        <v>Irán</v>
      </c>
      <c r="AP30" s="37">
        <f t="shared" si="7"/>
        <v>0</v>
      </c>
      <c r="AQ30" s="37">
        <f t="shared" si="8"/>
      </c>
      <c r="AR30" s="37">
        <f t="shared" si="9"/>
      </c>
      <c r="AS30" s="37">
        <f t="shared" si="10"/>
      </c>
      <c r="AT30" s="37">
        <f t="shared" si="11"/>
      </c>
      <c r="AU30" s="37" t="str">
        <f t="shared" si="12"/>
        <v>Portugal</v>
      </c>
      <c r="AV30" s="37">
        <f t="shared" si="13"/>
        <v>0</v>
      </c>
      <c r="AW30" s="37" t="str">
        <f t="shared" si="14"/>
        <v>Portugal</v>
      </c>
      <c r="AX30" s="37">
        <f t="shared" si="15"/>
        <v>0</v>
      </c>
      <c r="AY30" s="37" t="str">
        <f t="shared" si="16"/>
        <v>Irán</v>
      </c>
      <c r="AZ30" s="37">
        <f t="shared" si="17"/>
        <v>0</v>
      </c>
      <c r="BA30" s="37" t="str">
        <f t="shared" si="18"/>
        <v>Irán</v>
      </c>
      <c r="BB30" s="37">
        <f t="shared" si="19"/>
        <v>0</v>
      </c>
      <c r="BC30" s="37" t="s">
        <v>75</v>
      </c>
      <c r="BD30" s="37">
        <v>12</v>
      </c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</row>
    <row r="31" spans="1:102" ht="13.5" customHeight="1" thickBot="1">
      <c r="A31" s="22" t="str">
        <f>CONCATENATE(17+IF(GMT&gt;6,1,0)," ",INDEX(T,80,language))</f>
        <v>17 Jun</v>
      </c>
      <c r="B31" s="18">
        <f>TIME(17+GMT,0,0)</f>
        <v>0.5833333333333334</v>
      </c>
      <c r="C31" s="10" t="str">
        <f>P38</f>
        <v>República Checa</v>
      </c>
      <c r="D31" s="20"/>
      <c r="E31" s="20"/>
      <c r="F31" s="6" t="str">
        <f>P36</f>
        <v>Ghana</v>
      </c>
      <c r="H31" s="14" t="str">
        <f>VLOOKUP(1,O28:V31,2,FALSE)</f>
        <v>Portugal</v>
      </c>
      <c r="I31" s="15">
        <f>VLOOKUP(1,O28:V31,3,FALSE)</f>
        <v>0</v>
      </c>
      <c r="J31" s="15">
        <f>VLOOKUP(1,O28:V31,4,FALSE)</f>
        <v>0</v>
      </c>
      <c r="K31" s="15">
        <f>VLOOKUP(1,O28:V31,5,FALSE)</f>
        <v>0</v>
      </c>
      <c r="L31" s="15" t="str">
        <f>CONCATENATE(VLOOKUP(1,O28:V31,6,FALSE)," - ",VLOOKUP(1,O28:V31,7,FALSE))</f>
        <v>0 - 0</v>
      </c>
      <c r="M31" s="16">
        <f>VLOOKUP(1,O28:V31,8,FALSE)</f>
        <v>0</v>
      </c>
      <c r="O31" s="36">
        <f>IF(W31&gt;W28,1,0)+IF(W31&gt;W29,1,0)+IF(W31&gt;W30,1,0)+IF(W31&gt;W31,1,0)+1</f>
        <v>1</v>
      </c>
      <c r="P31" s="37" t="str">
        <f>INDEX(T,18,language)</f>
        <v>Portugal</v>
      </c>
      <c r="Q31" s="38">
        <f>COUNTIF(AQ7:AR54,CONCATENATE(P31,"_win"))</f>
        <v>0</v>
      </c>
      <c r="R31" s="38">
        <f>COUNTIF(AQ7:AR54,CONCATENATE(P31,"_draw"))</f>
        <v>0</v>
      </c>
      <c r="S31" s="38">
        <f>COUNTIF(AQ7:AR54,CONCATENATE(P31,"_lose"))</f>
        <v>0</v>
      </c>
      <c r="T31" s="38">
        <f>SUMIF(AM7:AM54,CONCATENATE("=",P31),AN7:AN54)+SUMIF(AI7:AI54,CONCATENATE("=",P31),AJ7:AJ54)</f>
        <v>0</v>
      </c>
      <c r="U31" s="38">
        <f>SUMIF(AO7:AO54,CONCATENATE("=",P31),AP7:AP54)+SUMIF(AK7:AK54,CONCATENATE("=",P31),AL7:AL54)</f>
        <v>0</v>
      </c>
      <c r="V31" s="38">
        <f>Q31*3+R31</f>
        <v>0</v>
      </c>
      <c r="W31" s="38">
        <f>0.1+T31+(T31-U31)*100+Q31*1000+V31*10000000+AF31*10000</f>
        <v>0.1</v>
      </c>
      <c r="X31" s="37">
        <f>IF(COUNTIF(V28:V31,CONCATENATE("=",V31))=1,0,COUNTIF(V28:V31,CONCATENATE("=",V31)))*V31</f>
        <v>0</v>
      </c>
      <c r="AA31" s="38">
        <f>IF(V31=Z28,1,0)</f>
        <v>1</v>
      </c>
      <c r="AB31" s="38">
        <f>COUNTIF(AS7:AT54,CONCATENATE(P31,"_win"))</f>
        <v>0</v>
      </c>
      <c r="AC31" s="38">
        <f>SUMIF(AY7:AY54,CONCATENATE("=",P31),AZ7:AZ54)+SUMIF(AU7:AU54,CONCATENATE("=",P31),AV7:AV54)</f>
        <v>0</v>
      </c>
      <c r="AD31" s="38">
        <f>SUMIF(BA7:BA54,CONCATENATE("=",P31),BB7:BB54)+SUMIF(AW7:AW54,CONCATENATE("=",P31),AX7:AX54)</f>
        <v>0</v>
      </c>
      <c r="AE31" s="37">
        <f>300*AB31+(AC31-AD31)*10+AC31</f>
        <v>0</v>
      </c>
      <c r="AF31" s="37">
        <f>IF(AE31&gt;0,AE31,0)</f>
        <v>0</v>
      </c>
      <c r="AH31" s="37">
        <f>VLOOKUP(F31,P7:AA59,12,FALSE)+VLOOKUP(C31,P7:AA59,12,FALSE)</f>
        <v>2</v>
      </c>
      <c r="AI31" s="37" t="str">
        <f t="shared" si="0"/>
        <v>República Checa</v>
      </c>
      <c r="AJ31" s="37">
        <f t="shared" si="1"/>
        <v>0</v>
      </c>
      <c r="AK31" s="37" t="str">
        <f t="shared" si="2"/>
        <v>República Checa</v>
      </c>
      <c r="AL31" s="37">
        <f t="shared" si="3"/>
        <v>0</v>
      </c>
      <c r="AM31" s="37" t="str">
        <f t="shared" si="4"/>
        <v>Ghana</v>
      </c>
      <c r="AN31" s="37">
        <f t="shared" si="5"/>
        <v>0</v>
      </c>
      <c r="AO31" s="37" t="str">
        <f t="shared" si="6"/>
        <v>Ghana</v>
      </c>
      <c r="AP31" s="37">
        <f t="shared" si="7"/>
        <v>0</v>
      </c>
      <c r="AQ31" s="37">
        <f t="shared" si="8"/>
      </c>
      <c r="AR31" s="37">
        <f t="shared" si="9"/>
      </c>
      <c r="AS31" s="37">
        <f t="shared" si="10"/>
      </c>
      <c r="AT31" s="37">
        <f t="shared" si="11"/>
      </c>
      <c r="AU31" s="37" t="str">
        <f t="shared" si="12"/>
        <v>República Checa</v>
      </c>
      <c r="AV31" s="37">
        <f t="shared" si="13"/>
        <v>0</v>
      </c>
      <c r="AW31" s="37" t="str">
        <f t="shared" si="14"/>
        <v>República Checa</v>
      </c>
      <c r="AX31" s="37">
        <f t="shared" si="15"/>
        <v>0</v>
      </c>
      <c r="AY31" s="37" t="str">
        <f t="shared" si="16"/>
        <v>Ghana</v>
      </c>
      <c r="AZ31" s="37">
        <f t="shared" si="17"/>
        <v>0</v>
      </c>
      <c r="BA31" s="37" t="str">
        <f t="shared" si="18"/>
        <v>Ghana</v>
      </c>
      <c r="BB31" s="37">
        <f t="shared" si="19"/>
        <v>0</v>
      </c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</row>
    <row r="32" spans="1:102" ht="13.5" customHeight="1" thickBot="1">
      <c r="A32" s="22" t="str">
        <f>CONCATENATE(17+IF(GMT&gt;3,1,0)," ",INDEX(T,80,language))</f>
        <v>17 Jun</v>
      </c>
      <c r="B32" s="18">
        <f>TIME(20+GMT,0,0)</f>
        <v>0.7083333333333334</v>
      </c>
      <c r="C32" s="10" t="str">
        <f>P35</f>
        <v>Italia</v>
      </c>
      <c r="D32" s="20"/>
      <c r="E32" s="20"/>
      <c r="F32" s="6" t="str">
        <f>P37</f>
        <v>Estados Unidos</v>
      </c>
      <c r="X32" s="37">
        <f>MAX(X28:X31)</f>
        <v>0</v>
      </c>
      <c r="AH32" s="37">
        <f>VLOOKUP(F32,P7:AA59,12,FALSE)+VLOOKUP(C32,P7:AA59,12,FALSE)</f>
        <v>2</v>
      </c>
      <c r="AI32" s="37" t="str">
        <f t="shared" si="0"/>
        <v>Italia</v>
      </c>
      <c r="AJ32" s="37">
        <f t="shared" si="1"/>
        <v>0</v>
      </c>
      <c r="AK32" s="37" t="str">
        <f t="shared" si="2"/>
        <v>Italia</v>
      </c>
      <c r="AL32" s="37">
        <f t="shared" si="3"/>
        <v>0</v>
      </c>
      <c r="AM32" s="37" t="str">
        <f t="shared" si="4"/>
        <v>Estados Unidos</v>
      </c>
      <c r="AN32" s="37">
        <f t="shared" si="5"/>
        <v>0</v>
      </c>
      <c r="AO32" s="37" t="str">
        <f t="shared" si="6"/>
        <v>Estados Unidos</v>
      </c>
      <c r="AP32" s="37">
        <f t="shared" si="7"/>
        <v>0</v>
      </c>
      <c r="AQ32" s="37">
        <f t="shared" si="8"/>
      </c>
      <c r="AR32" s="37">
        <f t="shared" si="9"/>
      </c>
      <c r="AS32" s="37">
        <f t="shared" si="10"/>
      </c>
      <c r="AT32" s="37">
        <f t="shared" si="11"/>
      </c>
      <c r="AU32" s="37" t="str">
        <f t="shared" si="12"/>
        <v>Italia</v>
      </c>
      <c r="AV32" s="37">
        <f t="shared" si="13"/>
        <v>0</v>
      </c>
      <c r="AW32" s="37" t="str">
        <f t="shared" si="14"/>
        <v>Italia</v>
      </c>
      <c r="AX32" s="37">
        <f t="shared" si="15"/>
        <v>0</v>
      </c>
      <c r="AY32" s="37" t="str">
        <f t="shared" si="16"/>
        <v>Estados Unidos</v>
      </c>
      <c r="AZ32" s="37">
        <f t="shared" si="17"/>
        <v>0</v>
      </c>
      <c r="BA32" s="37" t="str">
        <f t="shared" si="18"/>
        <v>Estados Unidos</v>
      </c>
      <c r="BB32" s="37">
        <f t="shared" si="19"/>
        <v>0</v>
      </c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</row>
    <row r="33" spans="1:102" ht="13.5" customHeight="1" thickBot="1">
      <c r="A33" s="22" t="str">
        <f>CONCATENATE(18+IF(GMT&gt;9,1,0)," ",INDEX(T,80,language))</f>
        <v>18 Jun</v>
      </c>
      <c r="B33" s="18">
        <f>TIME(14+GMT,0,0)</f>
        <v>0.4583333333333333</v>
      </c>
      <c r="C33" s="10" t="str">
        <f>P45</f>
        <v>Japón</v>
      </c>
      <c r="D33" s="20"/>
      <c r="E33" s="20"/>
      <c r="F33" s="6" t="str">
        <f>P43</f>
        <v>Croacia</v>
      </c>
      <c r="H33" s="52" t="str">
        <f>CONCATENATE(INDEX(T,40,language)," E")</f>
        <v>Grupo E</v>
      </c>
      <c r="I33" s="44" t="str">
        <f>INDEX(T,35,language)</f>
        <v>PG</v>
      </c>
      <c r="J33" s="44" t="str">
        <f>INDEX(T,36,language)</f>
        <v>PE</v>
      </c>
      <c r="K33" s="44" t="str">
        <f>INDEX(T,37,language)</f>
        <v>PP</v>
      </c>
      <c r="L33" s="44" t="str">
        <f>INDEX(T,38,language)</f>
        <v>Gf - Gv</v>
      </c>
      <c r="M33" s="54" t="str">
        <f>INDEX(T,39,language)</f>
        <v>Pts</v>
      </c>
      <c r="AH33" s="37">
        <f>VLOOKUP(F33,P7:AA59,12,FALSE)+VLOOKUP(C33,P7:AA59,12,FALSE)</f>
        <v>2</v>
      </c>
      <c r="AI33" s="37" t="str">
        <f t="shared" si="0"/>
        <v>Japón</v>
      </c>
      <c r="AJ33" s="37">
        <f t="shared" si="1"/>
        <v>0</v>
      </c>
      <c r="AK33" s="37" t="str">
        <f t="shared" si="2"/>
        <v>Japón</v>
      </c>
      <c r="AL33" s="37">
        <f t="shared" si="3"/>
        <v>0</v>
      </c>
      <c r="AM33" s="37" t="str">
        <f t="shared" si="4"/>
        <v>Croacia</v>
      </c>
      <c r="AN33" s="37">
        <f t="shared" si="5"/>
        <v>0</v>
      </c>
      <c r="AO33" s="37" t="str">
        <f t="shared" si="6"/>
        <v>Croacia</v>
      </c>
      <c r="AP33" s="37">
        <f t="shared" si="7"/>
        <v>0</v>
      </c>
      <c r="AQ33" s="37">
        <f t="shared" si="8"/>
      </c>
      <c r="AR33" s="37">
        <f t="shared" si="9"/>
      </c>
      <c r="AS33" s="37">
        <f t="shared" si="10"/>
      </c>
      <c r="AT33" s="37">
        <f t="shared" si="11"/>
      </c>
      <c r="AU33" s="37" t="str">
        <f t="shared" si="12"/>
        <v>Japón</v>
      </c>
      <c r="AV33" s="37">
        <f t="shared" si="13"/>
        <v>0</v>
      </c>
      <c r="AW33" s="37" t="str">
        <f t="shared" si="14"/>
        <v>Japón</v>
      </c>
      <c r="AX33" s="37">
        <f t="shared" si="15"/>
        <v>0</v>
      </c>
      <c r="AY33" s="37" t="str">
        <f t="shared" si="16"/>
        <v>Croacia</v>
      </c>
      <c r="AZ33" s="37">
        <f t="shared" si="17"/>
        <v>0</v>
      </c>
      <c r="BA33" s="37" t="str">
        <f t="shared" si="18"/>
        <v>Croacia</v>
      </c>
      <c r="BB33" s="37">
        <f t="shared" si="19"/>
        <v>0</v>
      </c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</row>
    <row r="34" spans="1:102" ht="13.5" customHeight="1" thickBot="1">
      <c r="A34" s="22" t="str">
        <f>CONCATENATE(18+IF(GMT&gt;6,1,0)," ",INDEX(T,80,language))</f>
        <v>18 Jun</v>
      </c>
      <c r="B34" s="18">
        <f>TIME(17+GMT,0,0)</f>
        <v>0.5833333333333334</v>
      </c>
      <c r="C34" s="10" t="str">
        <f>P42</f>
        <v>Brasil</v>
      </c>
      <c r="D34" s="20"/>
      <c r="E34" s="20"/>
      <c r="F34" s="6" t="str">
        <f>P44</f>
        <v>Australia</v>
      </c>
      <c r="H34" s="53"/>
      <c r="I34" s="45"/>
      <c r="J34" s="45"/>
      <c r="K34" s="45"/>
      <c r="L34" s="45"/>
      <c r="M34" s="55"/>
      <c r="AH34" s="37">
        <f>VLOOKUP(F34,P7:AA59,12,FALSE)+VLOOKUP(C34,P7:AA59,12,FALSE)</f>
        <v>2</v>
      </c>
      <c r="AI34" s="37" t="str">
        <f t="shared" si="0"/>
        <v>Brasil</v>
      </c>
      <c r="AJ34" s="37">
        <f t="shared" si="1"/>
        <v>0</v>
      </c>
      <c r="AK34" s="37" t="str">
        <f t="shared" si="2"/>
        <v>Brasil</v>
      </c>
      <c r="AL34" s="37">
        <f t="shared" si="3"/>
        <v>0</v>
      </c>
      <c r="AM34" s="37" t="str">
        <f t="shared" si="4"/>
        <v>Australia</v>
      </c>
      <c r="AN34" s="37">
        <f t="shared" si="5"/>
        <v>0</v>
      </c>
      <c r="AO34" s="37" t="str">
        <f t="shared" si="6"/>
        <v>Australia</v>
      </c>
      <c r="AP34" s="37">
        <f t="shared" si="7"/>
        <v>0</v>
      </c>
      <c r="AQ34" s="37">
        <f t="shared" si="8"/>
      </c>
      <c r="AR34" s="37">
        <f t="shared" si="9"/>
      </c>
      <c r="AS34" s="37">
        <f t="shared" si="10"/>
      </c>
      <c r="AT34" s="37">
        <f t="shared" si="11"/>
      </c>
      <c r="AU34" s="37" t="str">
        <f t="shared" si="12"/>
        <v>Brasil</v>
      </c>
      <c r="AV34" s="37">
        <f t="shared" si="13"/>
        <v>0</v>
      </c>
      <c r="AW34" s="37" t="str">
        <f t="shared" si="14"/>
        <v>Brasil</v>
      </c>
      <c r="AX34" s="37">
        <f t="shared" si="15"/>
        <v>0</v>
      </c>
      <c r="AY34" s="37" t="str">
        <f t="shared" si="16"/>
        <v>Australia</v>
      </c>
      <c r="AZ34" s="37">
        <f t="shared" si="17"/>
        <v>0</v>
      </c>
      <c r="BA34" s="37" t="str">
        <f t="shared" si="18"/>
        <v>Australia</v>
      </c>
      <c r="BB34" s="37">
        <f t="shared" si="19"/>
        <v>0</v>
      </c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</row>
    <row r="35" spans="1:102" ht="13.5" customHeight="1" thickBot="1">
      <c r="A35" s="22" t="str">
        <f>CONCATENATE(18+IF(GMT&gt;3,1,0)," ",INDEX(T,80,language))</f>
        <v>18 Jun</v>
      </c>
      <c r="B35" s="18">
        <f>TIME(20+GMT,0,0)</f>
        <v>0.7083333333333334</v>
      </c>
      <c r="C35" s="10" t="str">
        <f>P49</f>
        <v>Francia</v>
      </c>
      <c r="D35" s="20"/>
      <c r="E35" s="20"/>
      <c r="F35" s="6" t="str">
        <f>P51</f>
        <v>Sur Corea</v>
      </c>
      <c r="H35" s="7" t="str">
        <f>VLOOKUP(4,O35:V38,2,FALSE)</f>
        <v>Italia</v>
      </c>
      <c r="I35" s="8">
        <f>VLOOKUP(4,O35:V38,3,FALSE)</f>
        <v>0</v>
      </c>
      <c r="J35" s="8">
        <f>VLOOKUP(4,O35:V38,4,FALSE)</f>
        <v>0</v>
      </c>
      <c r="K35" s="8">
        <f>VLOOKUP(4,O35:V38,5,FALSE)</f>
        <v>0</v>
      </c>
      <c r="L35" s="8" t="str">
        <f>CONCATENATE(VLOOKUP(4,O35:V38,6,FALSE)," - ",VLOOKUP(4,O35:V38,7,FALSE))</f>
        <v>0 - 0</v>
      </c>
      <c r="M35" s="9">
        <f>VLOOKUP(4,O35:V38,8,FALSE)</f>
        <v>0</v>
      </c>
      <c r="O35" s="36">
        <f>IF(W35&gt;W35,1,0)+IF(W35&gt;W36,1,0)+IF(W35&gt;W37,1,0)+IF(W35&gt;W38,1,0)+1</f>
        <v>4</v>
      </c>
      <c r="P35" s="37" t="str">
        <f>INDEX(T,19,language)</f>
        <v>Italia</v>
      </c>
      <c r="Q35" s="38">
        <f>COUNTIF(AQ7:AR54,CONCATENATE(P35,"_win"))</f>
        <v>0</v>
      </c>
      <c r="R35" s="38">
        <f>COUNTIF(AQ7:AR54,CONCATENATE(P35,"_draw"))</f>
        <v>0</v>
      </c>
      <c r="S35" s="38">
        <f>COUNTIF(AQ7:AR54,CONCATENATE(P35,"_lose"))</f>
        <v>0</v>
      </c>
      <c r="T35" s="38">
        <f>SUMIF(AM7:AM54,CONCATENATE("=",P35),AN7:AN54)+SUMIF(AI7:AI54,CONCATENATE("=",P35),AJ7:AJ54)</f>
        <v>0</v>
      </c>
      <c r="U35" s="38">
        <f>SUMIF(AO7:AO54,CONCATENATE("=",P35),AP7:AP54)+SUMIF(AK7:AK54,CONCATENATE("=",P35),AL7:AL54)</f>
        <v>0</v>
      </c>
      <c r="V35" s="38">
        <f>Q35*3+R35</f>
        <v>0</v>
      </c>
      <c r="W35" s="38">
        <f>0.4+T35+(T35-U35)*100+Q35*1000+V35*10000000+AF35*10000</f>
        <v>0.4</v>
      </c>
      <c r="X35" s="37">
        <f>IF(COUNTIF(V35:V38,CONCATENATE("=",V35))=1,0,COUNTIF(V35:V38,CONCATENATE("=",V35)))*V35</f>
        <v>0</v>
      </c>
      <c r="Y35" s="37" t="str">
        <f>IF(SUM(Q35:S38)=12,H35,INDEX(T,56,language))</f>
        <v>Primero del Grupo E</v>
      </c>
      <c r="Z35" s="38">
        <f>IF(X35=X39,V35,IF(X36=X39,V36,IF(X37=X39,V37,V38)))</f>
        <v>0</v>
      </c>
      <c r="AA35" s="38">
        <f>IF(V35=Z35,1,0)</f>
        <v>1</v>
      </c>
      <c r="AB35" s="38">
        <f>COUNTIF(AS7:AT54,CONCATENATE(P35,"_win"))</f>
        <v>0</v>
      </c>
      <c r="AC35" s="38">
        <f>SUMIF(AY7:AY54,CONCATENATE("=",P35),AZ7:AZ54)+SUMIF(AU7:AU54,CONCATENATE("=",P35),AV7:AV54)</f>
        <v>0</v>
      </c>
      <c r="AD35" s="38">
        <f>SUMIF(BA7:BA54,CONCATENATE("=",P35),BB7:BB54)+SUMIF(AW7:AW54,CONCATENATE("=",P35),AX7:AX54)</f>
        <v>0</v>
      </c>
      <c r="AE35" s="37">
        <f>300*AB35+(AC35-AD35)*10+AC35</f>
        <v>0</v>
      </c>
      <c r="AF35" s="37">
        <f>IF(AE35&gt;0,AE35,0)</f>
        <v>0</v>
      </c>
      <c r="AH35" s="37">
        <f>VLOOKUP(F35,P7:AA59,12,FALSE)+VLOOKUP(C35,P7:AA59,12,FALSE)</f>
        <v>2</v>
      </c>
      <c r="AI35" s="37" t="str">
        <f t="shared" si="0"/>
        <v>Francia</v>
      </c>
      <c r="AJ35" s="37">
        <f t="shared" si="1"/>
        <v>0</v>
      </c>
      <c r="AK35" s="37" t="str">
        <f t="shared" si="2"/>
        <v>Francia</v>
      </c>
      <c r="AL35" s="37">
        <f t="shared" si="3"/>
        <v>0</v>
      </c>
      <c r="AM35" s="37" t="str">
        <f t="shared" si="4"/>
        <v>Sur Corea</v>
      </c>
      <c r="AN35" s="37">
        <f t="shared" si="5"/>
        <v>0</v>
      </c>
      <c r="AO35" s="37" t="str">
        <f t="shared" si="6"/>
        <v>Sur Corea</v>
      </c>
      <c r="AP35" s="37">
        <f t="shared" si="7"/>
        <v>0</v>
      </c>
      <c r="AQ35" s="37">
        <f t="shared" si="8"/>
      </c>
      <c r="AR35" s="37">
        <f t="shared" si="9"/>
      </c>
      <c r="AS35" s="37">
        <f t="shared" si="10"/>
      </c>
      <c r="AT35" s="37">
        <f t="shared" si="11"/>
      </c>
      <c r="AU35" s="37" t="str">
        <f t="shared" si="12"/>
        <v>Francia</v>
      </c>
      <c r="AV35" s="37">
        <f t="shared" si="13"/>
        <v>0</v>
      </c>
      <c r="AW35" s="37" t="str">
        <f t="shared" si="14"/>
        <v>Francia</v>
      </c>
      <c r="AX35" s="37">
        <f t="shared" si="15"/>
        <v>0</v>
      </c>
      <c r="AY35" s="37" t="str">
        <f t="shared" si="16"/>
        <v>Sur Corea</v>
      </c>
      <c r="AZ35" s="37">
        <f t="shared" si="17"/>
        <v>0</v>
      </c>
      <c r="BA35" s="37" t="str">
        <f t="shared" si="18"/>
        <v>Sur Corea</v>
      </c>
      <c r="BB35" s="37">
        <f t="shared" si="19"/>
        <v>0</v>
      </c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</row>
    <row r="36" spans="1:102" ht="13.5" customHeight="1" thickBot="1">
      <c r="A36" s="22" t="str">
        <f>CONCATENATE(19+IF(GMT&gt;9,1,0)," ",INDEX(T,80,language))</f>
        <v>19 Jun</v>
      </c>
      <c r="B36" s="18">
        <f>TIME(14+GMT,0,0)</f>
        <v>0.4583333333333333</v>
      </c>
      <c r="C36" s="10" t="str">
        <f>P52</f>
        <v>Togo</v>
      </c>
      <c r="D36" s="20"/>
      <c r="E36" s="20"/>
      <c r="F36" s="6" t="str">
        <f>P50</f>
        <v>Suiza</v>
      </c>
      <c r="H36" s="11" t="str">
        <f>VLOOKUP(3,O35:V38,2,FALSE)</f>
        <v>Ghana</v>
      </c>
      <c r="I36" s="12">
        <f>VLOOKUP(3,O35:V38,3,FALSE)</f>
        <v>0</v>
      </c>
      <c r="J36" s="12">
        <f>VLOOKUP(3,O35:V38,4,FALSE)</f>
        <v>0</v>
      </c>
      <c r="K36" s="12">
        <f>VLOOKUP(3,O35:V38,5,FALSE)</f>
        <v>0</v>
      </c>
      <c r="L36" s="12" t="str">
        <f>CONCATENATE(VLOOKUP(3,O35:V38,6,FALSE)," - ",VLOOKUP(3,O35:V38,7,FALSE))</f>
        <v>0 - 0</v>
      </c>
      <c r="M36" s="13">
        <f>VLOOKUP(3,O35:V38,8,FALSE)</f>
        <v>0</v>
      </c>
      <c r="O36" s="36">
        <f>IF(W36&gt;W35,1,0)+IF(W36&gt;W36,1,0)+IF(W36&gt;W37,1,0)+IF(W36&gt;W38,1,0)+1</f>
        <v>3</v>
      </c>
      <c r="P36" s="37" t="str">
        <f>INDEX(T,20,language)</f>
        <v>Ghana</v>
      </c>
      <c r="Q36" s="38">
        <f>COUNTIF(AQ7:AR54,CONCATENATE(P36,"_win"))</f>
        <v>0</v>
      </c>
      <c r="R36" s="38">
        <f>COUNTIF(AQ7:AR54,CONCATENATE(P36,"_draw"))</f>
        <v>0</v>
      </c>
      <c r="S36" s="38">
        <f>COUNTIF(AQ7:AR54,CONCATENATE(P36,"_lose"))</f>
        <v>0</v>
      </c>
      <c r="T36" s="38">
        <f>SUMIF(AM7:AM54,CONCATENATE("=",P36),AN7:AN54)+SUMIF(AI7:AI54,CONCATENATE("=",P36),AJ7:AJ54)</f>
        <v>0</v>
      </c>
      <c r="U36" s="38">
        <f>SUMIF(AO7:AO54,CONCATENATE("=",P36),AP7:AP54)+SUMIF(AK7:AK54,CONCATENATE("=",P36),AL7:AL54)</f>
        <v>0</v>
      </c>
      <c r="V36" s="38">
        <f>Q36*3+R36</f>
        <v>0</v>
      </c>
      <c r="W36" s="38">
        <f>0.3+T36+(T36-U36)*100+Q36*1000+V36*10000000+AF36*10000</f>
        <v>0.3</v>
      </c>
      <c r="X36" s="37">
        <f>IF(COUNTIF(V35:V38,CONCATENATE("=",V36))=1,0,COUNTIF(V35:V38,CONCATENATE("=",V36)))*V36</f>
        <v>0</v>
      </c>
      <c r="Y36" s="37" t="str">
        <f>IF(SUM(Q35:S38)=12,H36,INDEX(T,57,language))</f>
        <v>Segundo del Grupo E</v>
      </c>
      <c r="AA36" s="38">
        <f>IF(V36=Z35,1,0)</f>
        <v>1</v>
      </c>
      <c r="AB36" s="38">
        <f>COUNTIF(AS7:AT54,CONCATENATE(P36,"_win"))</f>
        <v>0</v>
      </c>
      <c r="AC36" s="38">
        <f>SUMIF(AY7:AY54,CONCATENATE("=",P36),AZ7:AZ54)+SUMIF(AU7:AU54,CONCATENATE("=",P36),AV7:AV54)</f>
        <v>0</v>
      </c>
      <c r="AD36" s="38">
        <f>SUMIF(BA7:BA54,CONCATENATE("=",P36),BB7:BB54)+SUMIF(AW7:AW54,CONCATENATE("=",P36),AX7:AX54)</f>
        <v>0</v>
      </c>
      <c r="AE36" s="37">
        <f>300*AB36+(AC36-AD36)*10+AC36</f>
        <v>0</v>
      </c>
      <c r="AF36" s="37">
        <f>IF(AE36&gt;0,AE36,0)</f>
        <v>0</v>
      </c>
      <c r="AH36" s="37">
        <f>VLOOKUP(F36,P7:AA59,12,FALSE)+VLOOKUP(C36,P7:AA59,12,FALSE)</f>
        <v>2</v>
      </c>
      <c r="AI36" s="37" t="str">
        <f t="shared" si="0"/>
        <v>Togo</v>
      </c>
      <c r="AJ36" s="37">
        <f t="shared" si="1"/>
        <v>0</v>
      </c>
      <c r="AK36" s="37" t="str">
        <f t="shared" si="2"/>
        <v>Togo</v>
      </c>
      <c r="AL36" s="37">
        <f t="shared" si="3"/>
        <v>0</v>
      </c>
      <c r="AM36" s="37" t="str">
        <f t="shared" si="4"/>
        <v>Suiza</v>
      </c>
      <c r="AN36" s="37">
        <f t="shared" si="5"/>
        <v>0</v>
      </c>
      <c r="AO36" s="37" t="str">
        <f t="shared" si="6"/>
        <v>Suiza</v>
      </c>
      <c r="AP36" s="37">
        <f t="shared" si="7"/>
        <v>0</v>
      </c>
      <c r="AQ36" s="37">
        <f t="shared" si="8"/>
      </c>
      <c r="AR36" s="37">
        <f t="shared" si="9"/>
      </c>
      <c r="AS36" s="37">
        <f t="shared" si="10"/>
      </c>
      <c r="AT36" s="37">
        <f t="shared" si="11"/>
      </c>
      <c r="AU36" s="37" t="str">
        <f t="shared" si="12"/>
        <v>Togo</v>
      </c>
      <c r="AV36" s="37">
        <f t="shared" si="13"/>
        <v>0</v>
      </c>
      <c r="AW36" s="37" t="str">
        <f t="shared" si="14"/>
        <v>Togo</v>
      </c>
      <c r="AX36" s="37">
        <f t="shared" si="15"/>
        <v>0</v>
      </c>
      <c r="AY36" s="37" t="str">
        <f t="shared" si="16"/>
        <v>Suiza</v>
      </c>
      <c r="AZ36" s="37">
        <f t="shared" si="17"/>
        <v>0</v>
      </c>
      <c r="BA36" s="37" t="str">
        <f t="shared" si="18"/>
        <v>Suiza</v>
      </c>
      <c r="BB36" s="37">
        <f t="shared" si="19"/>
        <v>0</v>
      </c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</row>
    <row r="37" spans="1:102" ht="13.5" customHeight="1" thickBot="1">
      <c r="A37" s="22" t="str">
        <f>CONCATENATE(19+IF(GMT&gt;6,1,0)," ",INDEX(T,80,language))</f>
        <v>19 Jun</v>
      </c>
      <c r="B37" s="18">
        <f>TIME(17+GMT,0,0)</f>
        <v>0.5833333333333334</v>
      </c>
      <c r="C37" s="10" t="str">
        <f>P59</f>
        <v>Arabia Saudí</v>
      </c>
      <c r="D37" s="20"/>
      <c r="E37" s="20"/>
      <c r="F37" s="6" t="str">
        <f>P57</f>
        <v>Ucrania</v>
      </c>
      <c r="H37" s="11" t="str">
        <f>VLOOKUP(2,O35:V38,2,FALSE)</f>
        <v>Estados Unidos</v>
      </c>
      <c r="I37" s="12">
        <f>VLOOKUP(2,O35:V38,3,FALSE)</f>
        <v>0</v>
      </c>
      <c r="J37" s="12">
        <f>VLOOKUP(2,O35:V38,4,FALSE)</f>
        <v>0</v>
      </c>
      <c r="K37" s="12">
        <f>VLOOKUP(2,O35:V38,5,FALSE)</f>
        <v>0</v>
      </c>
      <c r="L37" s="12" t="str">
        <f>CONCATENATE(VLOOKUP(2,O35:V38,6,FALSE)," - ",VLOOKUP(2,O35:V38,7,FALSE))</f>
        <v>0 - 0</v>
      </c>
      <c r="M37" s="13">
        <f>VLOOKUP(2,O35:V38,8,FALSE)</f>
        <v>0</v>
      </c>
      <c r="O37" s="36">
        <f>IF(W37&gt;W35,1,0)+IF(W37&gt;W36,1,0)+IF(W37&gt;W37,1,0)+IF(W37&gt;W38,1,0)+1</f>
        <v>2</v>
      </c>
      <c r="P37" s="37" t="str">
        <f>INDEX(T,21,language)</f>
        <v>Estados Unidos</v>
      </c>
      <c r="Q37" s="38">
        <f>COUNTIF(AQ7:AR54,CONCATENATE(P37,"_win"))</f>
        <v>0</v>
      </c>
      <c r="R37" s="38">
        <f>COUNTIF(AQ7:AR54,CONCATENATE(P37,"_draw"))</f>
        <v>0</v>
      </c>
      <c r="S37" s="38">
        <f>COUNTIF(AQ7:AR54,CONCATENATE(P37,"_lose"))</f>
        <v>0</v>
      </c>
      <c r="T37" s="38">
        <f>SUMIF(AM7:AM54,CONCATENATE("=",P37),AN7:AN54)+SUMIF(AI7:AI54,CONCATENATE("=",P37),AJ7:AJ54)</f>
        <v>0</v>
      </c>
      <c r="U37" s="38">
        <f>SUMIF(AO7:AO54,CONCATENATE("=",P37),AP7:AP54)+SUMIF(AK7:AK54,CONCATENATE("=",P37),AL7:AL54)</f>
        <v>0</v>
      </c>
      <c r="V37" s="38">
        <f>Q37*3+R37</f>
        <v>0</v>
      </c>
      <c r="W37" s="38">
        <f>0.2+T37+(T37-U37)*100+Q37*1000+V37*10000000+AF37*10000</f>
        <v>0.2</v>
      </c>
      <c r="X37" s="37">
        <f>IF(COUNTIF(V35:V38,CONCATENATE("=",V37))=1,0,COUNTIF(V35:V38,CONCATENATE("=",V37)))*V37</f>
        <v>0</v>
      </c>
      <c r="AA37" s="38">
        <f>IF(V37=Z35,1,0)</f>
        <v>1</v>
      </c>
      <c r="AB37" s="38">
        <f>COUNTIF(AS7:AT54,CONCATENATE(P37,"_win"))</f>
        <v>0</v>
      </c>
      <c r="AC37" s="38">
        <f>SUMIF(AY7:AY54,CONCATENATE("=",P37),AZ7:AZ54)+SUMIF(AU7:AU54,CONCATENATE("=",P37),AV7:AV54)</f>
        <v>0</v>
      </c>
      <c r="AD37" s="38">
        <f>SUMIF(BA7:BA54,CONCATENATE("=",P37),BB7:BB54)+SUMIF(AW7:AW54,CONCATENATE("=",P37),AX7:AX54)</f>
        <v>0</v>
      </c>
      <c r="AE37" s="37">
        <f>300*AB37+(AC37-AD37)*10+AC37</f>
        <v>0</v>
      </c>
      <c r="AF37" s="37">
        <f>IF(AE37&gt;0,AE37,0)</f>
        <v>0</v>
      </c>
      <c r="AH37" s="37">
        <f>VLOOKUP(F37,P7:AA59,12,FALSE)+VLOOKUP(C37,P7:AA59,12,FALSE)</f>
        <v>2</v>
      </c>
      <c r="AI37" s="37" t="str">
        <f t="shared" si="0"/>
        <v>Arabia Saudí</v>
      </c>
      <c r="AJ37" s="37">
        <f t="shared" si="1"/>
        <v>0</v>
      </c>
      <c r="AK37" s="37" t="str">
        <f t="shared" si="2"/>
        <v>Arabia Saudí</v>
      </c>
      <c r="AL37" s="37">
        <f t="shared" si="3"/>
        <v>0</v>
      </c>
      <c r="AM37" s="37" t="str">
        <f t="shared" si="4"/>
        <v>Ucrania</v>
      </c>
      <c r="AN37" s="37">
        <f t="shared" si="5"/>
        <v>0</v>
      </c>
      <c r="AO37" s="37" t="str">
        <f t="shared" si="6"/>
        <v>Ucrania</v>
      </c>
      <c r="AP37" s="37">
        <f t="shared" si="7"/>
        <v>0</v>
      </c>
      <c r="AQ37" s="37">
        <f t="shared" si="8"/>
      </c>
      <c r="AR37" s="37">
        <f t="shared" si="9"/>
      </c>
      <c r="AS37" s="37">
        <f t="shared" si="10"/>
      </c>
      <c r="AT37" s="37">
        <f t="shared" si="11"/>
      </c>
      <c r="AU37" s="37" t="str">
        <f t="shared" si="12"/>
        <v>Arabia Saudí</v>
      </c>
      <c r="AV37" s="37">
        <f t="shared" si="13"/>
        <v>0</v>
      </c>
      <c r="AW37" s="37" t="str">
        <f t="shared" si="14"/>
        <v>Arabia Saudí</v>
      </c>
      <c r="AX37" s="37">
        <f t="shared" si="15"/>
        <v>0</v>
      </c>
      <c r="AY37" s="37" t="str">
        <f t="shared" si="16"/>
        <v>Ucrania</v>
      </c>
      <c r="AZ37" s="37">
        <f t="shared" si="17"/>
        <v>0</v>
      </c>
      <c r="BA37" s="37" t="str">
        <f t="shared" si="18"/>
        <v>Ucrania</v>
      </c>
      <c r="BB37" s="37">
        <f t="shared" si="19"/>
        <v>0</v>
      </c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</row>
    <row r="38" spans="1:102" ht="13.5" customHeight="1" thickBot="1">
      <c r="A38" s="22" t="str">
        <f>CONCATENATE(19+IF(GMT&gt;3,1,0)," ",INDEX(T,80,language))</f>
        <v>19 Jun</v>
      </c>
      <c r="B38" s="18">
        <f>TIME(20+GMT,0,0)</f>
        <v>0.7083333333333334</v>
      </c>
      <c r="C38" s="10" t="str">
        <f>P56</f>
        <v>España</v>
      </c>
      <c r="D38" s="20"/>
      <c r="E38" s="20"/>
      <c r="F38" s="6" t="str">
        <f>P58</f>
        <v>Túnez</v>
      </c>
      <c r="H38" s="14" t="str">
        <f>VLOOKUP(1,O35:V38,2,FALSE)</f>
        <v>República Checa</v>
      </c>
      <c r="I38" s="15">
        <f>VLOOKUP(1,O35:V38,3,FALSE)</f>
        <v>0</v>
      </c>
      <c r="J38" s="15">
        <f>VLOOKUP(1,O35:V38,4,FALSE)</f>
        <v>0</v>
      </c>
      <c r="K38" s="15">
        <f>VLOOKUP(1,O35:V38,5,FALSE)</f>
        <v>0</v>
      </c>
      <c r="L38" s="15" t="str">
        <f>CONCATENATE(VLOOKUP(1,O35:V38,6,FALSE)," - ",VLOOKUP(1,O35:V38,7,FALSE))</f>
        <v>0 - 0</v>
      </c>
      <c r="M38" s="16">
        <f>VLOOKUP(1,O35:V38,8,FALSE)</f>
        <v>0</v>
      </c>
      <c r="O38" s="36">
        <f>IF(W38&gt;W35,1,0)+IF(W38&gt;W36,1,0)+IF(W38&gt;W37,1,0)+IF(W38&gt;W38,1,0)+1</f>
        <v>1</v>
      </c>
      <c r="P38" s="37" t="str">
        <f>INDEX(T,22,language)</f>
        <v>República Checa</v>
      </c>
      <c r="Q38" s="38">
        <f>COUNTIF(AQ7:AR54,CONCATENATE(P38,"_win"))</f>
        <v>0</v>
      </c>
      <c r="R38" s="38">
        <f>COUNTIF(AQ7:AR54,CONCATENATE(P38,"_draw"))</f>
        <v>0</v>
      </c>
      <c r="S38" s="38">
        <f>COUNTIF(AQ7:AR54,CONCATENATE(P38,"_lose"))</f>
        <v>0</v>
      </c>
      <c r="T38" s="38">
        <f>SUMIF(AM7:AM54,CONCATENATE("=",P38),AN7:AN54)+SUMIF(AI7:AI54,CONCATENATE("=",P38),AJ7:AJ54)</f>
        <v>0</v>
      </c>
      <c r="U38" s="38">
        <f>SUMIF(AO7:AO54,CONCATENATE("=",P38),AP7:AP54)+SUMIF(AK7:AK54,CONCATENATE("=",P38),AL7:AL54)</f>
        <v>0</v>
      </c>
      <c r="V38" s="38">
        <f>Q38*3+R38</f>
        <v>0</v>
      </c>
      <c r="W38" s="38">
        <f>0.1+T38+(T38-U38)*100+Q38*1000+V38*10000000+AF38*10000</f>
        <v>0.1</v>
      </c>
      <c r="X38" s="37">
        <f>IF(COUNTIF(V35:V38,CONCATENATE("=",V38))=1,0,COUNTIF(V35:V38,CONCATENATE("=",V38)))*V38</f>
        <v>0</v>
      </c>
      <c r="AA38" s="38">
        <f>IF(V38=Z35,1,0)</f>
        <v>1</v>
      </c>
      <c r="AB38" s="38">
        <f>COUNTIF(AS7:AT54,CONCATENATE(P38,"_win"))</f>
        <v>0</v>
      </c>
      <c r="AC38" s="38">
        <f>SUMIF(AY7:AY54,CONCATENATE("=",P38),AZ7:AZ54)+SUMIF(AU7:AU54,CONCATENATE("=",P38),AV7:AV54)</f>
        <v>0</v>
      </c>
      <c r="AD38" s="38">
        <f>SUMIF(BA7:BA54,CONCATENATE("=",P38),BB7:BB54)+SUMIF(AW7:AW54,CONCATENATE("=",P38),AX7:AX54)</f>
        <v>0</v>
      </c>
      <c r="AE38" s="37">
        <f>300*AB38+(AC38-AD38)*10+AC38</f>
        <v>0</v>
      </c>
      <c r="AF38" s="37">
        <f>IF(AE38&gt;0,AE38,0)</f>
        <v>0</v>
      </c>
      <c r="AH38" s="37">
        <f>VLOOKUP(F38,P7:AA59,12,FALSE)+VLOOKUP(C38,P7:AA59,12,FALSE)</f>
        <v>2</v>
      </c>
      <c r="AI38" s="37" t="str">
        <f t="shared" si="0"/>
        <v>España</v>
      </c>
      <c r="AJ38" s="37">
        <f t="shared" si="1"/>
        <v>0</v>
      </c>
      <c r="AK38" s="37" t="str">
        <f t="shared" si="2"/>
        <v>España</v>
      </c>
      <c r="AL38" s="37">
        <f t="shared" si="3"/>
        <v>0</v>
      </c>
      <c r="AM38" s="37" t="str">
        <f t="shared" si="4"/>
        <v>Túnez</v>
      </c>
      <c r="AN38" s="37">
        <f t="shared" si="5"/>
        <v>0</v>
      </c>
      <c r="AO38" s="37" t="str">
        <f t="shared" si="6"/>
        <v>Túnez</v>
      </c>
      <c r="AP38" s="37">
        <f t="shared" si="7"/>
        <v>0</v>
      </c>
      <c r="AQ38" s="37">
        <f t="shared" si="8"/>
      </c>
      <c r="AR38" s="37">
        <f t="shared" si="9"/>
      </c>
      <c r="AS38" s="37">
        <f t="shared" si="10"/>
      </c>
      <c r="AT38" s="37">
        <f t="shared" si="11"/>
      </c>
      <c r="AU38" s="37" t="str">
        <f t="shared" si="12"/>
        <v>España</v>
      </c>
      <c r="AV38" s="37">
        <f t="shared" si="13"/>
        <v>0</v>
      </c>
      <c r="AW38" s="37" t="str">
        <f t="shared" si="14"/>
        <v>España</v>
      </c>
      <c r="AX38" s="37">
        <f t="shared" si="15"/>
        <v>0</v>
      </c>
      <c r="AY38" s="37" t="str">
        <f t="shared" si="16"/>
        <v>Túnez</v>
      </c>
      <c r="AZ38" s="37">
        <f t="shared" si="17"/>
        <v>0</v>
      </c>
      <c r="BA38" s="37" t="str">
        <f t="shared" si="18"/>
        <v>Túnez</v>
      </c>
      <c r="BB38" s="37">
        <f t="shared" si="19"/>
        <v>0</v>
      </c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</row>
    <row r="39" spans="1:102" ht="13.5" customHeight="1" thickBot="1">
      <c r="A39" s="28" t="str">
        <f>CONCATENATE(20+IF(GMT&gt;8,1,0)," ",INDEX(T,80,language))</f>
        <v>20 Jun</v>
      </c>
      <c r="B39" s="29">
        <f>TIME(15+GMT,0,0)</f>
        <v>0.5</v>
      </c>
      <c r="C39" s="5" t="str">
        <f>P10</f>
        <v>Ecuador</v>
      </c>
      <c r="D39" s="20"/>
      <c r="E39" s="20"/>
      <c r="F39" s="6" t="str">
        <f>P7</f>
        <v>Alemania</v>
      </c>
      <c r="X39" s="37">
        <f>MAX(X35:X38)</f>
        <v>0</v>
      </c>
      <c r="AH39" s="37">
        <f>VLOOKUP(F39,P7:AA59,12,FALSE)+VLOOKUP(C39,P7:AA59,12,FALSE)</f>
        <v>2</v>
      </c>
      <c r="AI39" s="37" t="str">
        <f t="shared" si="0"/>
        <v>Ecuador</v>
      </c>
      <c r="AJ39" s="37">
        <f t="shared" si="1"/>
        <v>0</v>
      </c>
      <c r="AK39" s="37" t="str">
        <f t="shared" si="2"/>
        <v>Ecuador</v>
      </c>
      <c r="AL39" s="37">
        <f t="shared" si="3"/>
        <v>0</v>
      </c>
      <c r="AM39" s="37" t="str">
        <f t="shared" si="4"/>
        <v>Alemania</v>
      </c>
      <c r="AN39" s="37">
        <f t="shared" si="5"/>
        <v>0</v>
      </c>
      <c r="AO39" s="37" t="str">
        <f t="shared" si="6"/>
        <v>Alemania</v>
      </c>
      <c r="AP39" s="37">
        <f t="shared" si="7"/>
        <v>0</v>
      </c>
      <c r="AQ39" s="37">
        <f t="shared" si="8"/>
      </c>
      <c r="AR39" s="37">
        <f t="shared" si="9"/>
      </c>
      <c r="AS39" s="37">
        <f t="shared" si="10"/>
      </c>
      <c r="AT39" s="37">
        <f t="shared" si="11"/>
      </c>
      <c r="AU39" s="37" t="str">
        <f t="shared" si="12"/>
        <v>Ecuador</v>
      </c>
      <c r="AV39" s="37">
        <f t="shared" si="13"/>
        <v>0</v>
      </c>
      <c r="AW39" s="37" t="str">
        <f t="shared" si="14"/>
        <v>Ecuador</v>
      </c>
      <c r="AX39" s="37">
        <f t="shared" si="15"/>
        <v>0</v>
      </c>
      <c r="AY39" s="37" t="str">
        <f t="shared" si="16"/>
        <v>Alemania</v>
      </c>
      <c r="AZ39" s="37">
        <f t="shared" si="17"/>
        <v>0</v>
      </c>
      <c r="BA39" s="37" t="str">
        <f t="shared" si="18"/>
        <v>Alemania</v>
      </c>
      <c r="BB39" s="37">
        <f t="shared" si="19"/>
        <v>0</v>
      </c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</row>
    <row r="40" spans="1:102" ht="13.5" customHeight="1" thickBot="1">
      <c r="A40" s="22" t="str">
        <f>CONCATENATE(20+IF(GMT&gt;8,1,0)," ",INDEX(T,80,language))</f>
        <v>20 Jun</v>
      </c>
      <c r="B40" s="18">
        <f>TIME(15+GMT,0,0)</f>
        <v>0.5</v>
      </c>
      <c r="C40" s="10" t="str">
        <f>P8</f>
        <v>Costa Rica</v>
      </c>
      <c r="D40" s="20"/>
      <c r="E40" s="20"/>
      <c r="F40" s="6" t="str">
        <f>P9</f>
        <v>Polonia</v>
      </c>
      <c r="H40" s="56" t="str">
        <f>CONCATENATE(INDEX(T,40,language)," F")</f>
        <v>Grupo F</v>
      </c>
      <c r="I40" s="58" t="str">
        <f>INDEX(T,35,language)</f>
        <v>PG</v>
      </c>
      <c r="J40" s="58" t="str">
        <f>INDEX(T,36,language)</f>
        <v>PE</v>
      </c>
      <c r="K40" s="58" t="str">
        <f>INDEX(T,37,language)</f>
        <v>PP</v>
      </c>
      <c r="L40" s="58" t="str">
        <f>INDEX(T,38,language)</f>
        <v>Gf - Gv</v>
      </c>
      <c r="M40" s="60" t="str">
        <f>INDEX(T,39,language)</f>
        <v>Pts</v>
      </c>
      <c r="AH40" s="37">
        <f>VLOOKUP(F40,P7:AA59,12,FALSE)+VLOOKUP(C40,P7:AA59,12,FALSE)</f>
        <v>2</v>
      </c>
      <c r="AI40" s="37" t="str">
        <f t="shared" si="0"/>
        <v>Costa Rica</v>
      </c>
      <c r="AJ40" s="37">
        <f t="shared" si="1"/>
        <v>0</v>
      </c>
      <c r="AK40" s="37" t="str">
        <f t="shared" si="2"/>
        <v>Costa Rica</v>
      </c>
      <c r="AL40" s="37">
        <f t="shared" si="3"/>
        <v>0</v>
      </c>
      <c r="AM40" s="37" t="str">
        <f t="shared" si="4"/>
        <v>Polonia</v>
      </c>
      <c r="AN40" s="37">
        <f t="shared" si="5"/>
        <v>0</v>
      </c>
      <c r="AO40" s="37" t="str">
        <f t="shared" si="6"/>
        <v>Polonia</v>
      </c>
      <c r="AP40" s="37">
        <f t="shared" si="7"/>
        <v>0</v>
      </c>
      <c r="AQ40" s="37">
        <f t="shared" si="8"/>
      </c>
      <c r="AR40" s="37">
        <f t="shared" si="9"/>
      </c>
      <c r="AS40" s="37">
        <f t="shared" si="10"/>
      </c>
      <c r="AT40" s="37">
        <f t="shared" si="11"/>
      </c>
      <c r="AU40" s="37" t="str">
        <f t="shared" si="12"/>
        <v>Costa Rica</v>
      </c>
      <c r="AV40" s="37">
        <f t="shared" si="13"/>
        <v>0</v>
      </c>
      <c r="AW40" s="37" t="str">
        <f t="shared" si="14"/>
        <v>Costa Rica</v>
      </c>
      <c r="AX40" s="37">
        <f t="shared" si="15"/>
        <v>0</v>
      </c>
      <c r="AY40" s="37" t="str">
        <f t="shared" si="16"/>
        <v>Polonia</v>
      </c>
      <c r="AZ40" s="37">
        <f t="shared" si="17"/>
        <v>0</v>
      </c>
      <c r="BA40" s="37" t="str">
        <f t="shared" si="18"/>
        <v>Polonia</v>
      </c>
      <c r="BB40" s="37">
        <f t="shared" si="19"/>
        <v>0</v>
      </c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</row>
    <row r="41" spans="1:102" ht="13.5" customHeight="1" thickBot="1">
      <c r="A41" s="22" t="str">
        <f>CONCATENATE(20+IF(GMT&gt;3,1,0)," ",INDEX(T,80,language))</f>
        <v>20 Jun</v>
      </c>
      <c r="B41" s="18">
        <f>TIME(20+GMT,0,0)</f>
        <v>0.7083333333333334</v>
      </c>
      <c r="C41" s="10" t="str">
        <f>P15</f>
        <v>Paraguay</v>
      </c>
      <c r="D41" s="20"/>
      <c r="E41" s="20"/>
      <c r="F41" s="6" t="str">
        <f>P16</f>
        <v>Trinidad y Tobago</v>
      </c>
      <c r="H41" s="57"/>
      <c r="I41" s="59"/>
      <c r="J41" s="59"/>
      <c r="K41" s="59"/>
      <c r="L41" s="59"/>
      <c r="M41" s="61"/>
      <c r="AH41" s="37">
        <f>VLOOKUP(F41,P7:AA59,12,FALSE)+VLOOKUP(C41,P7:AA59,12,FALSE)</f>
        <v>2</v>
      </c>
      <c r="AI41" s="37" t="str">
        <f t="shared" si="0"/>
        <v>Paraguay</v>
      </c>
      <c r="AJ41" s="37">
        <f t="shared" si="1"/>
        <v>0</v>
      </c>
      <c r="AK41" s="37" t="str">
        <f t="shared" si="2"/>
        <v>Paraguay</v>
      </c>
      <c r="AL41" s="37">
        <f t="shared" si="3"/>
        <v>0</v>
      </c>
      <c r="AM41" s="37" t="str">
        <f t="shared" si="4"/>
        <v>Trinidad y Tobago</v>
      </c>
      <c r="AN41" s="37">
        <f t="shared" si="5"/>
        <v>0</v>
      </c>
      <c r="AO41" s="37" t="str">
        <f t="shared" si="6"/>
        <v>Trinidad y Tobago</v>
      </c>
      <c r="AP41" s="37">
        <f t="shared" si="7"/>
        <v>0</v>
      </c>
      <c r="AQ41" s="37">
        <f t="shared" si="8"/>
      </c>
      <c r="AR41" s="37">
        <f t="shared" si="9"/>
      </c>
      <c r="AS41" s="37">
        <f t="shared" si="10"/>
      </c>
      <c r="AT41" s="37">
        <f t="shared" si="11"/>
      </c>
      <c r="AU41" s="37" t="str">
        <f t="shared" si="12"/>
        <v>Paraguay</v>
      </c>
      <c r="AV41" s="37">
        <f t="shared" si="13"/>
        <v>0</v>
      </c>
      <c r="AW41" s="37" t="str">
        <f t="shared" si="14"/>
        <v>Paraguay</v>
      </c>
      <c r="AX41" s="37">
        <f t="shared" si="15"/>
        <v>0</v>
      </c>
      <c r="AY41" s="37" t="str">
        <f t="shared" si="16"/>
        <v>Trinidad y Tobago</v>
      </c>
      <c r="AZ41" s="37">
        <f t="shared" si="17"/>
        <v>0</v>
      </c>
      <c r="BA41" s="37" t="str">
        <f t="shared" si="18"/>
        <v>Trinidad y Tobago</v>
      </c>
      <c r="BB41" s="37">
        <f t="shared" si="19"/>
        <v>0</v>
      </c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</row>
    <row r="42" spans="1:102" ht="13.5" customHeight="1" thickBot="1">
      <c r="A42" s="22" t="str">
        <f>CONCATENATE(20+IF(GMT&gt;3,1,0)," ",INDEX(T,80,language))</f>
        <v>20 Jun</v>
      </c>
      <c r="B42" s="18">
        <f>TIME(20+GMT,0,0)</f>
        <v>0.7083333333333334</v>
      </c>
      <c r="C42" s="10" t="str">
        <f>P17</f>
        <v>Suecia</v>
      </c>
      <c r="D42" s="20"/>
      <c r="E42" s="20"/>
      <c r="F42" s="6" t="str">
        <f>P14</f>
        <v>Inglaterra</v>
      </c>
      <c r="H42" s="7" t="str">
        <f>VLOOKUP(4,O42:V45,2,FALSE)</f>
        <v>Brasil</v>
      </c>
      <c r="I42" s="8">
        <f>VLOOKUP(4,O42:V45,3,FALSE)</f>
        <v>0</v>
      </c>
      <c r="J42" s="8">
        <f>VLOOKUP(4,O42:V45,4,FALSE)</f>
        <v>0</v>
      </c>
      <c r="K42" s="8">
        <f>VLOOKUP(4,O42:V45,5,FALSE)</f>
        <v>0</v>
      </c>
      <c r="L42" s="8" t="str">
        <f>CONCATENATE(VLOOKUP(4,O42:V45,6,FALSE)," - ",VLOOKUP(4,O42:V45,7,FALSE))</f>
        <v>0 - 0</v>
      </c>
      <c r="M42" s="9">
        <f>VLOOKUP(4,O42:V45,8,FALSE)</f>
        <v>0</v>
      </c>
      <c r="O42" s="36">
        <f>IF(W42&gt;W42,1,0)+IF(W42&gt;W43,1,0)+IF(W42&gt;W44,1,0)+IF(W42&gt;W45,1,0)+1</f>
        <v>4</v>
      </c>
      <c r="P42" s="37" t="str">
        <f>INDEX(T,23,language)</f>
        <v>Brasil</v>
      </c>
      <c r="Q42" s="38">
        <f>COUNTIF(AQ7:AR54,CONCATENATE(P42,"_win"))</f>
        <v>0</v>
      </c>
      <c r="R42" s="38">
        <f>COUNTIF(AQ7:AR54,CONCATENATE(P42,"_draw"))</f>
        <v>0</v>
      </c>
      <c r="S42" s="38">
        <f>COUNTIF(AQ7:AR54,CONCATENATE(P42,"_lose"))</f>
        <v>0</v>
      </c>
      <c r="T42" s="38">
        <f>SUMIF(AM7:AM54,CONCATENATE("=",P42),AN7:AN54)+SUMIF(AI7:AI54,CONCATENATE("=",P42),AJ7:AJ54)</f>
        <v>0</v>
      </c>
      <c r="U42" s="38">
        <f>SUMIF(AO7:AO54,CONCATENATE("=",P42),AP7:AP54)+SUMIF(AK7:AK54,CONCATENATE("=",P42),AL7:AL54)</f>
        <v>0</v>
      </c>
      <c r="V42" s="38">
        <f>Q42*3+R42</f>
        <v>0</v>
      </c>
      <c r="W42" s="38">
        <f>0.4+T42+(T42-U42)*100+Q42*1000+V42*10000000+AF42*10000</f>
        <v>0.4</v>
      </c>
      <c r="X42" s="37">
        <f>IF(COUNTIF(V42:V45,CONCATENATE("=",V42))=1,0,COUNTIF(V42:V45,CONCATENATE("=",V42)))*V42</f>
        <v>0</v>
      </c>
      <c r="Y42" s="37" t="str">
        <f>IF(SUM(Q42:S45)=12,H42,INDEX(T,58,language))</f>
        <v>Primero del Grupo F</v>
      </c>
      <c r="Z42" s="38">
        <f>IF(X42=X46,V42,IF(X43=X46,V43,IF(X44=X46,V44,V45)))</f>
        <v>0</v>
      </c>
      <c r="AA42" s="38">
        <f>IF(V42=Z42,1,0)</f>
        <v>1</v>
      </c>
      <c r="AB42" s="38">
        <f>COUNTIF(AS7:AT54,CONCATENATE(P42,"_win"))</f>
        <v>0</v>
      </c>
      <c r="AC42" s="38">
        <f>SUMIF(AY7:AY54,CONCATENATE("=",P42),AZ7:AZ54)+SUMIF(AU7:AU54,CONCATENATE("=",P42),AV7:AV54)</f>
        <v>0</v>
      </c>
      <c r="AD42" s="38">
        <f>SUMIF(BA7:BA54,CONCATENATE("=",P42),BB7:BB54)+SUMIF(AW7:AW54,CONCATENATE("=",P42),AX7:AX54)</f>
        <v>0</v>
      </c>
      <c r="AE42" s="37">
        <f>300*AB42+(AC42-AD42)*10+AC42</f>
        <v>0</v>
      </c>
      <c r="AF42" s="37">
        <f>IF(AE42&gt;0,AE42,0)</f>
        <v>0</v>
      </c>
      <c r="AH42" s="37">
        <f>VLOOKUP(F42,P7:AA59,12,FALSE)+VLOOKUP(C42,P7:AA59,12,FALSE)</f>
        <v>2</v>
      </c>
      <c r="AI42" s="37" t="str">
        <f t="shared" si="0"/>
        <v>Suecia</v>
      </c>
      <c r="AJ42" s="37">
        <f t="shared" si="1"/>
        <v>0</v>
      </c>
      <c r="AK42" s="37" t="str">
        <f t="shared" si="2"/>
        <v>Suecia</v>
      </c>
      <c r="AL42" s="37">
        <f t="shared" si="3"/>
        <v>0</v>
      </c>
      <c r="AM42" s="37" t="str">
        <f t="shared" si="4"/>
        <v>Inglaterra</v>
      </c>
      <c r="AN42" s="37">
        <f t="shared" si="5"/>
        <v>0</v>
      </c>
      <c r="AO42" s="37" t="str">
        <f t="shared" si="6"/>
        <v>Inglaterra</v>
      </c>
      <c r="AP42" s="37">
        <f t="shared" si="7"/>
        <v>0</v>
      </c>
      <c r="AQ42" s="37">
        <f t="shared" si="8"/>
      </c>
      <c r="AR42" s="37">
        <f t="shared" si="9"/>
      </c>
      <c r="AS42" s="37">
        <f t="shared" si="10"/>
      </c>
      <c r="AT42" s="37">
        <f t="shared" si="11"/>
      </c>
      <c r="AU42" s="37" t="str">
        <f t="shared" si="12"/>
        <v>Suecia</v>
      </c>
      <c r="AV42" s="37">
        <f t="shared" si="13"/>
        <v>0</v>
      </c>
      <c r="AW42" s="37" t="str">
        <f t="shared" si="14"/>
        <v>Suecia</v>
      </c>
      <c r="AX42" s="37">
        <f t="shared" si="15"/>
        <v>0</v>
      </c>
      <c r="AY42" s="37" t="str">
        <f t="shared" si="16"/>
        <v>Inglaterra</v>
      </c>
      <c r="AZ42" s="37">
        <f t="shared" si="17"/>
        <v>0</v>
      </c>
      <c r="BA42" s="37" t="str">
        <f t="shared" si="18"/>
        <v>Inglaterra</v>
      </c>
      <c r="BB42" s="37">
        <f t="shared" si="19"/>
        <v>0</v>
      </c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</row>
    <row r="43" spans="1:102" ht="13.5" customHeight="1" thickBot="1">
      <c r="A43" s="22" t="str">
        <f>CONCATENATE(21+IF(GMT&gt;8,1,0)," ",INDEX(T,80,language))</f>
        <v>21 Jun</v>
      </c>
      <c r="B43" s="18">
        <f>TIME(15+GMT,0,0)</f>
        <v>0.5</v>
      </c>
      <c r="C43" s="10" t="str">
        <f>P29</f>
        <v>Irán</v>
      </c>
      <c r="D43" s="20"/>
      <c r="E43" s="20"/>
      <c r="F43" s="6" t="str">
        <f>P30</f>
        <v>Angola</v>
      </c>
      <c r="H43" s="11" t="str">
        <f>VLOOKUP(3,O42:V45,2,FALSE)</f>
        <v>Croacia</v>
      </c>
      <c r="I43" s="12">
        <f>VLOOKUP(3,O42:V45,3,FALSE)</f>
        <v>0</v>
      </c>
      <c r="J43" s="12">
        <f>VLOOKUP(3,O42:V45,4,FALSE)</f>
        <v>0</v>
      </c>
      <c r="K43" s="12">
        <f>VLOOKUP(3,O42:V45,5,FALSE)</f>
        <v>0</v>
      </c>
      <c r="L43" s="12" t="str">
        <f>CONCATENATE(VLOOKUP(3,O42:V45,6,FALSE)," - ",VLOOKUP(3,O42:V45,7,FALSE))</f>
        <v>0 - 0</v>
      </c>
      <c r="M43" s="13">
        <f>VLOOKUP(3,O42:V45,8,FALSE)</f>
        <v>0</v>
      </c>
      <c r="O43" s="36">
        <f>IF(W43&gt;W42,1,0)+IF(W43&gt;W43,1,0)+IF(W43&gt;W44,1,0)+IF(W43&gt;W45,1,0)+1</f>
        <v>3</v>
      </c>
      <c r="P43" s="37" t="str">
        <f>INDEX(T,24,language)</f>
        <v>Croacia</v>
      </c>
      <c r="Q43" s="38">
        <f>COUNTIF(AQ7:AR54,CONCATENATE(P43,"_win"))</f>
        <v>0</v>
      </c>
      <c r="R43" s="38">
        <f>COUNTIF(AQ7:AR54,CONCATENATE(P43,"_draw"))</f>
        <v>0</v>
      </c>
      <c r="S43" s="38">
        <f>COUNTIF(AQ7:AR54,CONCATENATE(P43,"_lose"))</f>
        <v>0</v>
      </c>
      <c r="T43" s="38">
        <f>SUMIF(AM7:AM54,CONCATENATE("=",P43),AN7:AN54)+SUMIF(AI7:AI54,CONCATENATE("=",P43),AJ7:AJ54)</f>
        <v>0</v>
      </c>
      <c r="U43" s="38">
        <f>SUMIF(AO7:AO54,CONCATENATE("=",P43),AP7:AP54)+SUMIF(AK7:AK54,CONCATENATE("=",P43),AL7:AL54)</f>
        <v>0</v>
      </c>
      <c r="V43" s="38">
        <f>Q43*3+R43</f>
        <v>0</v>
      </c>
      <c r="W43" s="38">
        <f>0.3+T43+(T43-U43)*100+Q43*1000+V43*10000000+AF43*10000</f>
        <v>0.3</v>
      </c>
      <c r="X43" s="37">
        <f>IF(COUNTIF(V42:V45,CONCATENATE("=",V43))=1,0,COUNTIF(V42:V45,CONCATENATE("=",V43)))*V43</f>
        <v>0</v>
      </c>
      <c r="Y43" s="37" t="str">
        <f>IF(SUM(Q42:S45)=12,H43,INDEX(T,59,language))</f>
        <v>Segundo del Grupo F</v>
      </c>
      <c r="AA43" s="38">
        <f>IF(V43=Z42,1,0)</f>
        <v>1</v>
      </c>
      <c r="AB43" s="38">
        <f>COUNTIF(AS7:AT54,CONCATENATE(P43,"_win"))</f>
        <v>0</v>
      </c>
      <c r="AC43" s="38">
        <f>SUMIF(AY7:AY54,CONCATENATE("=",P43),AZ7:AZ54)+SUMIF(AU7:AU54,CONCATENATE("=",P43),AV7:AV54)</f>
        <v>0</v>
      </c>
      <c r="AD43" s="38">
        <f>SUMIF(BA7:BA54,CONCATENATE("=",P43),BB7:BB54)+SUMIF(AW7:AW54,CONCATENATE("=",P43),AX7:AX54)</f>
        <v>0</v>
      </c>
      <c r="AE43" s="37">
        <f>300*AB43+(AC43-AD43)*10+AC43</f>
        <v>0</v>
      </c>
      <c r="AF43" s="37">
        <f>IF(AE43&gt;0,AE43,0)</f>
        <v>0</v>
      </c>
      <c r="AH43" s="37">
        <f>VLOOKUP(F43,P7:AA59,12,FALSE)+VLOOKUP(C43,P7:AA59,12,FALSE)</f>
        <v>2</v>
      </c>
      <c r="AI43" s="37" t="str">
        <f t="shared" si="0"/>
        <v>Irán</v>
      </c>
      <c r="AJ43" s="37">
        <f t="shared" si="1"/>
        <v>0</v>
      </c>
      <c r="AK43" s="37" t="str">
        <f t="shared" si="2"/>
        <v>Irán</v>
      </c>
      <c r="AL43" s="37">
        <f t="shared" si="3"/>
        <v>0</v>
      </c>
      <c r="AM43" s="37" t="str">
        <f t="shared" si="4"/>
        <v>Angola</v>
      </c>
      <c r="AN43" s="37">
        <f t="shared" si="5"/>
        <v>0</v>
      </c>
      <c r="AO43" s="37" t="str">
        <f t="shared" si="6"/>
        <v>Angola</v>
      </c>
      <c r="AP43" s="37">
        <f t="shared" si="7"/>
        <v>0</v>
      </c>
      <c r="AQ43" s="37">
        <f t="shared" si="8"/>
      </c>
      <c r="AR43" s="37">
        <f t="shared" si="9"/>
      </c>
      <c r="AS43" s="37">
        <f t="shared" si="10"/>
      </c>
      <c r="AT43" s="37">
        <f t="shared" si="11"/>
      </c>
      <c r="AU43" s="37" t="str">
        <f t="shared" si="12"/>
        <v>Irán</v>
      </c>
      <c r="AV43" s="37">
        <f t="shared" si="13"/>
        <v>0</v>
      </c>
      <c r="AW43" s="37" t="str">
        <f t="shared" si="14"/>
        <v>Irán</v>
      </c>
      <c r="AX43" s="37">
        <f t="shared" si="15"/>
        <v>0</v>
      </c>
      <c r="AY43" s="37" t="str">
        <f t="shared" si="16"/>
        <v>Angola</v>
      </c>
      <c r="AZ43" s="37">
        <f t="shared" si="17"/>
        <v>0</v>
      </c>
      <c r="BA43" s="37" t="str">
        <f t="shared" si="18"/>
        <v>Angola</v>
      </c>
      <c r="BB43" s="37">
        <f t="shared" si="19"/>
        <v>0</v>
      </c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</row>
    <row r="44" spans="1:102" ht="13.5" customHeight="1" thickBot="1">
      <c r="A44" s="22" t="str">
        <f>CONCATENATE(21+IF(GMT&gt;8,1,0)," ",INDEX(T,80,language))</f>
        <v>21 Jun</v>
      </c>
      <c r="B44" s="18">
        <f>TIME(15+GMT,0,0)</f>
        <v>0.5</v>
      </c>
      <c r="C44" s="10" t="str">
        <f>P31</f>
        <v>Portugal</v>
      </c>
      <c r="D44" s="20"/>
      <c r="E44" s="20"/>
      <c r="F44" s="6" t="str">
        <f>P28</f>
        <v>México</v>
      </c>
      <c r="H44" s="11" t="str">
        <f>VLOOKUP(2,O42:V45,2,FALSE)</f>
        <v>Australia</v>
      </c>
      <c r="I44" s="12">
        <f>VLOOKUP(2,O42:V45,3,FALSE)</f>
        <v>0</v>
      </c>
      <c r="J44" s="12">
        <f>VLOOKUP(2,O42:V45,4,FALSE)</f>
        <v>0</v>
      </c>
      <c r="K44" s="12">
        <f>VLOOKUP(2,O42:V45,5,FALSE)</f>
        <v>0</v>
      </c>
      <c r="L44" s="12" t="str">
        <f>CONCATENATE(VLOOKUP(2,O42:V45,6,FALSE)," - ",VLOOKUP(2,O42:V45,7,FALSE))</f>
        <v>0 - 0</v>
      </c>
      <c r="M44" s="13">
        <f>VLOOKUP(2,O42:V45,8,FALSE)</f>
        <v>0</v>
      </c>
      <c r="O44" s="36">
        <f>IF(W44&gt;W42,1,0)+IF(W44&gt;W43,1,0)+IF(W44&gt;W44,1,0)+IF(W44&gt;W45,1,0)+1</f>
        <v>2</v>
      </c>
      <c r="P44" s="37" t="str">
        <f>INDEX(T,25,language)</f>
        <v>Australia</v>
      </c>
      <c r="Q44" s="38">
        <f>COUNTIF(AQ7:AR54,CONCATENATE(P44,"_win"))</f>
        <v>0</v>
      </c>
      <c r="R44" s="38">
        <f>COUNTIF(AQ7:AR54,CONCATENATE(P44,"_draw"))</f>
        <v>0</v>
      </c>
      <c r="S44" s="38">
        <f>COUNTIF(AQ7:AR54,CONCATENATE(P44,"_lose"))</f>
        <v>0</v>
      </c>
      <c r="T44" s="38">
        <f>SUMIF(AM7:AM54,CONCATENATE("=",P44),AN7:AN54)+SUMIF(AI7:AI54,CONCATENATE("=",P44),AJ7:AJ54)</f>
        <v>0</v>
      </c>
      <c r="U44" s="38">
        <f>SUMIF(AO7:AO54,CONCATENATE("=",P44),AP7:AP54)+SUMIF(AK7:AK54,CONCATENATE("=",P44),AL7:AL54)</f>
        <v>0</v>
      </c>
      <c r="V44" s="38">
        <f>Q44*3+R44</f>
        <v>0</v>
      </c>
      <c r="W44" s="38">
        <f>0.2+T44+(T44-U44)*100+Q44*1000+V44*10000000+AF44*10000</f>
        <v>0.2</v>
      </c>
      <c r="X44" s="37">
        <f>IF(COUNTIF(V42:V45,CONCATENATE("=",V44))=1,0,COUNTIF(V42:V45,CONCATENATE("=",V44)))*V44</f>
        <v>0</v>
      </c>
      <c r="AA44" s="38">
        <f>IF(V44=Z42,1,0)</f>
        <v>1</v>
      </c>
      <c r="AB44" s="38">
        <f>COUNTIF(AS7:AT54,CONCATENATE(P44,"_win"))</f>
        <v>0</v>
      </c>
      <c r="AC44" s="38">
        <f>SUMIF(AY7:AY54,CONCATENATE("=",P44),AZ7:AZ54)+SUMIF(AU7:AU54,CONCATENATE("=",P44),AV7:AV54)</f>
        <v>0</v>
      </c>
      <c r="AD44" s="38">
        <f>SUMIF(BA7:BA54,CONCATENATE("=",P44),BB7:BB54)+SUMIF(AW7:AW54,CONCATENATE("=",P44),AX7:AX54)</f>
        <v>0</v>
      </c>
      <c r="AE44" s="37">
        <f>300*AB44+(AC44-AD44)*10+AC44</f>
        <v>0</v>
      </c>
      <c r="AF44" s="37">
        <f>IF(AE44&gt;0,AE44,0)</f>
        <v>0</v>
      </c>
      <c r="AH44" s="37">
        <f>VLOOKUP(F44,P7:AA59,12,FALSE)+VLOOKUP(C44,P7:AA59,12,FALSE)</f>
        <v>2</v>
      </c>
      <c r="AI44" s="37" t="str">
        <f t="shared" si="0"/>
        <v>Portugal</v>
      </c>
      <c r="AJ44" s="37">
        <f t="shared" si="1"/>
        <v>0</v>
      </c>
      <c r="AK44" s="37" t="str">
        <f t="shared" si="2"/>
        <v>Portugal</v>
      </c>
      <c r="AL44" s="37">
        <f t="shared" si="3"/>
        <v>0</v>
      </c>
      <c r="AM44" s="37" t="str">
        <f t="shared" si="4"/>
        <v>México</v>
      </c>
      <c r="AN44" s="37">
        <f t="shared" si="5"/>
        <v>0</v>
      </c>
      <c r="AO44" s="37" t="str">
        <f t="shared" si="6"/>
        <v>México</v>
      </c>
      <c r="AP44" s="37">
        <f t="shared" si="7"/>
        <v>0</v>
      </c>
      <c r="AQ44" s="37">
        <f t="shared" si="8"/>
      </c>
      <c r="AR44" s="37">
        <f t="shared" si="9"/>
      </c>
      <c r="AS44" s="37">
        <f t="shared" si="10"/>
      </c>
      <c r="AT44" s="37">
        <f t="shared" si="11"/>
      </c>
      <c r="AU44" s="37" t="str">
        <f t="shared" si="12"/>
        <v>Portugal</v>
      </c>
      <c r="AV44" s="37">
        <f t="shared" si="13"/>
        <v>0</v>
      </c>
      <c r="AW44" s="37" t="str">
        <f t="shared" si="14"/>
        <v>Portugal</v>
      </c>
      <c r="AX44" s="37">
        <f t="shared" si="15"/>
        <v>0</v>
      </c>
      <c r="AY44" s="37" t="str">
        <f t="shared" si="16"/>
        <v>México</v>
      </c>
      <c r="AZ44" s="37">
        <f t="shared" si="17"/>
        <v>0</v>
      </c>
      <c r="BA44" s="37" t="str">
        <f t="shared" si="18"/>
        <v>México</v>
      </c>
      <c r="BB44" s="37">
        <f t="shared" si="19"/>
        <v>0</v>
      </c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</row>
    <row r="45" spans="1:102" ht="13.5" customHeight="1" thickBot="1">
      <c r="A45" s="22" t="str">
        <f>CONCATENATE(21+IF(GMT&gt;3,1,0)," ",INDEX(T,80,language))</f>
        <v>21 Jun</v>
      </c>
      <c r="B45" s="18">
        <f>TIME(20+GMT,0,0)</f>
        <v>0.7083333333333334</v>
      </c>
      <c r="C45" s="10" t="str">
        <f>P22</f>
        <v>Costa de Marfil</v>
      </c>
      <c r="D45" s="20"/>
      <c r="E45" s="20"/>
      <c r="F45" s="6" t="str">
        <f>P23</f>
        <v>Serbia y Montenegro</v>
      </c>
      <c r="H45" s="14" t="str">
        <f>VLOOKUP(1,O42:V45,2,FALSE)</f>
        <v>Japón</v>
      </c>
      <c r="I45" s="15">
        <f>VLOOKUP(1,O42:V45,3,FALSE)</f>
        <v>0</v>
      </c>
      <c r="J45" s="15">
        <f>VLOOKUP(1,O42:V45,4,FALSE)</f>
        <v>0</v>
      </c>
      <c r="K45" s="15">
        <f>VLOOKUP(1,O42:V45,5,FALSE)</f>
        <v>0</v>
      </c>
      <c r="L45" s="15" t="str">
        <f>CONCATENATE(VLOOKUP(1,O42:V45,6,FALSE)," - ",VLOOKUP(1,O42:V45,7,FALSE))</f>
        <v>0 - 0</v>
      </c>
      <c r="M45" s="16">
        <f>VLOOKUP(1,O42:V45,8,FALSE)</f>
        <v>0</v>
      </c>
      <c r="O45" s="36">
        <f>IF(W45&gt;W42,1,0)+IF(W45&gt;W43,1,0)+IF(W45&gt;W44,1,0)+IF(W45&gt;W45,1,0)+1</f>
        <v>1</v>
      </c>
      <c r="P45" s="37" t="str">
        <f>INDEX(T,26,language)</f>
        <v>Japón</v>
      </c>
      <c r="Q45" s="38">
        <f>COUNTIF(AQ7:AR54,CONCATENATE(P45,"_win"))</f>
        <v>0</v>
      </c>
      <c r="R45" s="38">
        <f>COUNTIF(AQ7:AR54,CONCATENATE(P45,"_draw"))</f>
        <v>0</v>
      </c>
      <c r="S45" s="38">
        <f>COUNTIF(AQ7:AR54,CONCATENATE(P45,"_lose"))</f>
        <v>0</v>
      </c>
      <c r="T45" s="38">
        <f>SUMIF(AM7:AM54,CONCATENATE("=",P45),AN7:AN54)+SUMIF(AI7:AI54,CONCATENATE("=",P45),AJ7:AJ54)</f>
        <v>0</v>
      </c>
      <c r="U45" s="38">
        <f>SUMIF(AO7:AO54,CONCATENATE("=",P45),AP7:AP54)+SUMIF(AK7:AK54,CONCATENATE("=",P45),AL7:AL54)</f>
        <v>0</v>
      </c>
      <c r="V45" s="38">
        <f>Q45*3+R45</f>
        <v>0</v>
      </c>
      <c r="W45" s="38">
        <f>0.1+T45+(T45-U45)*100+Q45*1000+V45*10000000+AF45*10000</f>
        <v>0.1</v>
      </c>
      <c r="X45" s="37">
        <f>IF(COUNTIF(V42:V45,CONCATENATE("=",V45))=1,0,COUNTIF(V42:V45,CONCATENATE("=",V45)))*V45</f>
        <v>0</v>
      </c>
      <c r="AA45" s="38">
        <f>IF(V45=Z42,1,0)</f>
        <v>1</v>
      </c>
      <c r="AB45" s="38">
        <f>COUNTIF(AS7:AT54,CONCATENATE(P45,"_win"))</f>
        <v>0</v>
      </c>
      <c r="AC45" s="38">
        <f>SUMIF(AY7:AY54,CONCATENATE("=",P45),AZ7:AZ54)+SUMIF(AU7:AU54,CONCATENATE("=",P45),AV7:AV54)</f>
        <v>0</v>
      </c>
      <c r="AD45" s="38">
        <f>SUMIF(BA7:BA54,CONCATENATE("=",P45),BB7:BB54)+SUMIF(AW7:AW54,CONCATENATE("=",P45),AX7:AX54)</f>
        <v>0</v>
      </c>
      <c r="AE45" s="37">
        <f>300*AB45+(AC45-AD45)*10+AC45</f>
        <v>0</v>
      </c>
      <c r="AF45" s="37">
        <f>IF(AE45&gt;0,AE45,0)</f>
        <v>0</v>
      </c>
      <c r="AH45" s="37">
        <f>VLOOKUP(F45,P7:AA59,12,FALSE)+VLOOKUP(C45,P7:AA59,12,FALSE)</f>
        <v>2</v>
      </c>
      <c r="AI45" s="37" t="str">
        <f t="shared" si="0"/>
        <v>Costa de Marfil</v>
      </c>
      <c r="AJ45" s="37">
        <f t="shared" si="1"/>
        <v>0</v>
      </c>
      <c r="AK45" s="37" t="str">
        <f t="shared" si="2"/>
        <v>Costa de Marfil</v>
      </c>
      <c r="AL45" s="37">
        <f t="shared" si="3"/>
        <v>0</v>
      </c>
      <c r="AM45" s="37" t="str">
        <f t="shared" si="4"/>
        <v>Serbia y Montenegro</v>
      </c>
      <c r="AN45" s="37">
        <f t="shared" si="5"/>
        <v>0</v>
      </c>
      <c r="AO45" s="37" t="str">
        <f t="shared" si="6"/>
        <v>Serbia y Montenegro</v>
      </c>
      <c r="AP45" s="37">
        <f t="shared" si="7"/>
        <v>0</v>
      </c>
      <c r="AQ45" s="37">
        <f t="shared" si="8"/>
      </c>
      <c r="AR45" s="37">
        <f t="shared" si="9"/>
      </c>
      <c r="AS45" s="37">
        <f t="shared" si="10"/>
      </c>
      <c r="AT45" s="37">
        <f t="shared" si="11"/>
      </c>
      <c r="AU45" s="37" t="str">
        <f t="shared" si="12"/>
        <v>Costa de Marfil</v>
      </c>
      <c r="AV45" s="37">
        <f t="shared" si="13"/>
        <v>0</v>
      </c>
      <c r="AW45" s="37" t="str">
        <f t="shared" si="14"/>
        <v>Costa de Marfil</v>
      </c>
      <c r="AX45" s="37">
        <f t="shared" si="15"/>
        <v>0</v>
      </c>
      <c r="AY45" s="37" t="str">
        <f t="shared" si="16"/>
        <v>Serbia y Montenegro</v>
      </c>
      <c r="AZ45" s="37">
        <f t="shared" si="17"/>
        <v>0</v>
      </c>
      <c r="BA45" s="37" t="str">
        <f t="shared" si="18"/>
        <v>Serbia y Montenegro</v>
      </c>
      <c r="BB45" s="37">
        <f t="shared" si="19"/>
        <v>0</v>
      </c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</row>
    <row r="46" spans="1:102" ht="13.5" customHeight="1" thickBot="1">
      <c r="A46" s="22" t="str">
        <f>CONCATENATE(21+IF(GMT&gt;3,1,0)," ",INDEX(T,80,language))</f>
        <v>21 Jun</v>
      </c>
      <c r="B46" s="18">
        <f>TIME(20+GMT,0,0)</f>
        <v>0.7083333333333334</v>
      </c>
      <c r="C46" s="10" t="str">
        <f>P24</f>
        <v>Holanda</v>
      </c>
      <c r="D46" s="20"/>
      <c r="E46" s="20"/>
      <c r="F46" s="6" t="str">
        <f>P21</f>
        <v>Argentina</v>
      </c>
      <c r="X46" s="37">
        <f>MAX(X42:X45)</f>
        <v>0</v>
      </c>
      <c r="AH46" s="37">
        <f>VLOOKUP(F46,P7:AA59,12,FALSE)+VLOOKUP(C46,P7:AA59,12,FALSE)</f>
        <v>2</v>
      </c>
      <c r="AI46" s="37" t="str">
        <f t="shared" si="0"/>
        <v>Holanda</v>
      </c>
      <c r="AJ46" s="37">
        <f t="shared" si="1"/>
        <v>0</v>
      </c>
      <c r="AK46" s="37" t="str">
        <f t="shared" si="2"/>
        <v>Holanda</v>
      </c>
      <c r="AL46" s="37">
        <f t="shared" si="3"/>
        <v>0</v>
      </c>
      <c r="AM46" s="37" t="str">
        <f t="shared" si="4"/>
        <v>Argentina</v>
      </c>
      <c r="AN46" s="37">
        <f t="shared" si="5"/>
        <v>0</v>
      </c>
      <c r="AO46" s="37" t="str">
        <f t="shared" si="6"/>
        <v>Argentina</v>
      </c>
      <c r="AP46" s="37">
        <f t="shared" si="7"/>
        <v>0</v>
      </c>
      <c r="AQ46" s="37">
        <f t="shared" si="8"/>
      </c>
      <c r="AR46" s="37">
        <f t="shared" si="9"/>
      </c>
      <c r="AS46" s="37">
        <f t="shared" si="10"/>
      </c>
      <c r="AT46" s="37">
        <f t="shared" si="11"/>
      </c>
      <c r="AU46" s="37" t="str">
        <f t="shared" si="12"/>
        <v>Holanda</v>
      </c>
      <c r="AV46" s="37">
        <f t="shared" si="13"/>
        <v>0</v>
      </c>
      <c r="AW46" s="37" t="str">
        <f t="shared" si="14"/>
        <v>Holanda</v>
      </c>
      <c r="AX46" s="37">
        <f t="shared" si="15"/>
        <v>0</v>
      </c>
      <c r="AY46" s="37" t="str">
        <f t="shared" si="16"/>
        <v>Argentina</v>
      </c>
      <c r="AZ46" s="37">
        <f t="shared" si="17"/>
        <v>0</v>
      </c>
      <c r="BA46" s="37" t="str">
        <f t="shared" si="18"/>
        <v>Argentina</v>
      </c>
      <c r="BB46" s="37">
        <f t="shared" si="19"/>
        <v>0</v>
      </c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</row>
    <row r="47" spans="1:102" ht="13.5" customHeight="1" thickBot="1">
      <c r="A47" s="22" t="str">
        <f>CONCATENATE(22+IF(GMT&gt;8,1,0)," ",INDEX(T,80,language))</f>
        <v>22 Jun</v>
      </c>
      <c r="B47" s="18">
        <f>TIME(15+GMT,0,0)</f>
        <v>0.5</v>
      </c>
      <c r="C47" s="10" t="str">
        <f>P36</f>
        <v>Ghana</v>
      </c>
      <c r="D47" s="20"/>
      <c r="E47" s="20"/>
      <c r="F47" s="6" t="str">
        <f>P37</f>
        <v>Estados Unidos</v>
      </c>
      <c r="H47" s="52" t="str">
        <f>CONCATENATE(INDEX(T,40,language)," G")</f>
        <v>Grupo G</v>
      </c>
      <c r="I47" s="44" t="str">
        <f>INDEX(T,35,language)</f>
        <v>PG</v>
      </c>
      <c r="J47" s="44" t="str">
        <f>INDEX(T,36,language)</f>
        <v>PE</v>
      </c>
      <c r="K47" s="44" t="str">
        <f>INDEX(T,37,language)</f>
        <v>PP</v>
      </c>
      <c r="L47" s="44" t="str">
        <f>INDEX(T,38,language)</f>
        <v>Gf - Gv</v>
      </c>
      <c r="M47" s="54" t="str">
        <f>INDEX(T,39,language)</f>
        <v>Pts</v>
      </c>
      <c r="AH47" s="37">
        <f>VLOOKUP(F47,P7:AA59,12,FALSE)+VLOOKUP(C47,P7:AA59,12,FALSE)</f>
        <v>2</v>
      </c>
      <c r="AI47" s="37" t="str">
        <f t="shared" si="0"/>
        <v>Ghana</v>
      </c>
      <c r="AJ47" s="37">
        <f t="shared" si="1"/>
        <v>0</v>
      </c>
      <c r="AK47" s="37" t="str">
        <f t="shared" si="2"/>
        <v>Ghana</v>
      </c>
      <c r="AL47" s="37">
        <f t="shared" si="3"/>
        <v>0</v>
      </c>
      <c r="AM47" s="37" t="str">
        <f t="shared" si="4"/>
        <v>Estados Unidos</v>
      </c>
      <c r="AN47" s="37">
        <f t="shared" si="5"/>
        <v>0</v>
      </c>
      <c r="AO47" s="37" t="str">
        <f t="shared" si="6"/>
        <v>Estados Unidos</v>
      </c>
      <c r="AP47" s="37">
        <f t="shared" si="7"/>
        <v>0</v>
      </c>
      <c r="AQ47" s="37">
        <f t="shared" si="8"/>
      </c>
      <c r="AR47" s="37">
        <f t="shared" si="9"/>
      </c>
      <c r="AS47" s="37">
        <f t="shared" si="10"/>
      </c>
      <c r="AT47" s="37">
        <f t="shared" si="11"/>
      </c>
      <c r="AU47" s="37" t="str">
        <f t="shared" si="12"/>
        <v>Ghana</v>
      </c>
      <c r="AV47" s="37">
        <f t="shared" si="13"/>
        <v>0</v>
      </c>
      <c r="AW47" s="37" t="str">
        <f t="shared" si="14"/>
        <v>Ghana</v>
      </c>
      <c r="AX47" s="37">
        <f t="shared" si="15"/>
        <v>0</v>
      </c>
      <c r="AY47" s="37" t="str">
        <f t="shared" si="16"/>
        <v>Estados Unidos</v>
      </c>
      <c r="AZ47" s="37">
        <f t="shared" si="17"/>
        <v>0</v>
      </c>
      <c r="BA47" s="37" t="str">
        <f t="shared" si="18"/>
        <v>Estados Unidos</v>
      </c>
      <c r="BB47" s="37">
        <f t="shared" si="19"/>
        <v>0</v>
      </c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</row>
    <row r="48" spans="1:102" ht="13.5" customHeight="1" thickBot="1">
      <c r="A48" s="22" t="str">
        <f>CONCATENATE(22+IF(GMT&gt;8,1,0)," ",INDEX(T,80,language))</f>
        <v>22 Jun</v>
      </c>
      <c r="B48" s="18">
        <f>TIME(15+GMT,0,0)</f>
        <v>0.5</v>
      </c>
      <c r="C48" s="10" t="str">
        <f>P38</f>
        <v>República Checa</v>
      </c>
      <c r="D48" s="20"/>
      <c r="E48" s="20"/>
      <c r="F48" s="6" t="str">
        <f>P35</f>
        <v>Italia</v>
      </c>
      <c r="H48" s="53"/>
      <c r="I48" s="45"/>
      <c r="J48" s="45"/>
      <c r="K48" s="45"/>
      <c r="L48" s="45"/>
      <c r="M48" s="55"/>
      <c r="AH48" s="37">
        <f>VLOOKUP(F48,P7:AA59,12,FALSE)+VLOOKUP(C48,P7:AA59,12,FALSE)</f>
        <v>2</v>
      </c>
      <c r="AI48" s="37" t="str">
        <f t="shared" si="0"/>
        <v>República Checa</v>
      </c>
      <c r="AJ48" s="37">
        <f t="shared" si="1"/>
        <v>0</v>
      </c>
      <c r="AK48" s="37" t="str">
        <f t="shared" si="2"/>
        <v>República Checa</v>
      </c>
      <c r="AL48" s="37">
        <f t="shared" si="3"/>
        <v>0</v>
      </c>
      <c r="AM48" s="37" t="str">
        <f t="shared" si="4"/>
        <v>Italia</v>
      </c>
      <c r="AN48" s="37">
        <f t="shared" si="5"/>
        <v>0</v>
      </c>
      <c r="AO48" s="37" t="str">
        <f t="shared" si="6"/>
        <v>Italia</v>
      </c>
      <c r="AP48" s="37">
        <f t="shared" si="7"/>
        <v>0</v>
      </c>
      <c r="AQ48" s="37">
        <f t="shared" si="8"/>
      </c>
      <c r="AR48" s="37">
        <f t="shared" si="9"/>
      </c>
      <c r="AS48" s="37">
        <f t="shared" si="10"/>
      </c>
      <c r="AT48" s="37">
        <f t="shared" si="11"/>
      </c>
      <c r="AU48" s="37" t="str">
        <f t="shared" si="12"/>
        <v>República Checa</v>
      </c>
      <c r="AV48" s="37">
        <f t="shared" si="13"/>
        <v>0</v>
      </c>
      <c r="AW48" s="37" t="str">
        <f t="shared" si="14"/>
        <v>República Checa</v>
      </c>
      <c r="AX48" s="37">
        <f t="shared" si="15"/>
        <v>0</v>
      </c>
      <c r="AY48" s="37" t="str">
        <f t="shared" si="16"/>
        <v>Italia</v>
      </c>
      <c r="AZ48" s="37">
        <f t="shared" si="17"/>
        <v>0</v>
      </c>
      <c r="BA48" s="37" t="str">
        <f t="shared" si="18"/>
        <v>Italia</v>
      </c>
      <c r="BB48" s="37">
        <f t="shared" si="19"/>
        <v>0</v>
      </c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</row>
    <row r="49" spans="1:102" ht="13.5" customHeight="1" thickBot="1">
      <c r="A49" s="22" t="str">
        <f>CONCATENATE(22+IF(GMT&gt;3,1,0)," ",INDEX(T,80,language))</f>
        <v>22 Jun</v>
      </c>
      <c r="B49" s="18">
        <f>TIME(20+GMT,0,0)</f>
        <v>0.7083333333333334</v>
      </c>
      <c r="C49" s="10" t="str">
        <f>P43</f>
        <v>Croacia</v>
      </c>
      <c r="D49" s="20"/>
      <c r="E49" s="20"/>
      <c r="F49" s="6" t="str">
        <f>P44</f>
        <v>Australia</v>
      </c>
      <c r="H49" s="7" t="str">
        <f>VLOOKUP(4,O49:V52,2,FALSE)</f>
        <v>Francia</v>
      </c>
      <c r="I49" s="8">
        <f>VLOOKUP(4,O49:V52,3,FALSE)</f>
        <v>0</v>
      </c>
      <c r="J49" s="8">
        <f>VLOOKUP(4,O49:V52,4,FALSE)</f>
        <v>0</v>
      </c>
      <c r="K49" s="8">
        <f>VLOOKUP(4,O49:V52,5,FALSE)</f>
        <v>0</v>
      </c>
      <c r="L49" s="8" t="str">
        <f>CONCATENATE(VLOOKUP(4,O49:V52,6,FALSE)," - ",VLOOKUP(4,O49:V52,7,FALSE))</f>
        <v>0 - 0</v>
      </c>
      <c r="M49" s="9">
        <f>VLOOKUP(4,O49:V52,8,FALSE)</f>
        <v>0</v>
      </c>
      <c r="O49" s="36">
        <f>IF(W49&gt;W49,1,0)+IF(W49&gt;W50,1,0)+IF(W49&gt;W51,1,0)+IF(W49&gt;W52,1,0)+1</f>
        <v>4</v>
      </c>
      <c r="P49" s="37" t="str">
        <f>INDEX(T,27,language)</f>
        <v>Francia</v>
      </c>
      <c r="Q49" s="38">
        <f>COUNTIF(AQ7:AR54,CONCATENATE(P49,"_win"))</f>
        <v>0</v>
      </c>
      <c r="R49" s="38">
        <f>COUNTIF(AQ7:AR54,CONCATENATE(P49,"_draw"))</f>
        <v>0</v>
      </c>
      <c r="S49" s="38">
        <f>COUNTIF(AQ7:AR54,CONCATENATE(P49,"_lose"))</f>
        <v>0</v>
      </c>
      <c r="T49" s="38">
        <f>SUMIF(AM7:AM54,CONCATENATE("=",P49),AN7:AN54)+SUMIF(AI7:AI54,CONCATENATE("=",P49),AJ7:AJ54)</f>
        <v>0</v>
      </c>
      <c r="U49" s="38">
        <f>SUMIF(AO7:AO54,CONCATENATE("=",P49),AP7:AP54)+SUMIF(AK7:AK54,CONCATENATE("=",P49),AL7:AL54)</f>
        <v>0</v>
      </c>
      <c r="V49" s="38">
        <f>Q49*3+R49</f>
        <v>0</v>
      </c>
      <c r="W49" s="38">
        <f>0.4+T49+(T49-U49)*100+Q49*1000+V49*10000000+AF49*10000</f>
        <v>0.4</v>
      </c>
      <c r="X49" s="37">
        <f>IF(COUNTIF(V49:V52,CONCATENATE("=",V49))=1,0,COUNTIF(V49:V52,CONCATENATE("=",V49)))*V49</f>
        <v>0</v>
      </c>
      <c r="Y49" s="37" t="str">
        <f>IF(SUM(Q49:S52)=12,H49,INDEX(T,60,language))</f>
        <v>Primero del Grupo G</v>
      </c>
      <c r="Z49" s="38">
        <f>IF(X49=X53,V49,IF(X50=X53,V50,IF(X51=X53,V51,V52)))</f>
        <v>0</v>
      </c>
      <c r="AA49" s="38">
        <f>IF(V49=Z49,1,0)</f>
        <v>1</v>
      </c>
      <c r="AB49" s="38">
        <f>COUNTIF(AS7:AT54,CONCATENATE(P49,"_win"))</f>
        <v>0</v>
      </c>
      <c r="AC49" s="38">
        <f>SUMIF(AY7:AY54,CONCATENATE("=",P49),AZ7:AZ54)+SUMIF(AU7:AU54,CONCATENATE("=",P49),AV7:AV54)</f>
        <v>0</v>
      </c>
      <c r="AD49" s="38">
        <f>SUMIF(BA7:BA54,CONCATENATE("=",P49),BB7:BB54)+SUMIF(AW7:AW54,CONCATENATE("=",P49),AX7:AX54)</f>
        <v>0</v>
      </c>
      <c r="AE49" s="37">
        <f>300*AB49+(AC49-AD49)*10+AC49</f>
        <v>0</v>
      </c>
      <c r="AF49" s="37">
        <f>IF(AE49&gt;0,AE49,0)</f>
        <v>0</v>
      </c>
      <c r="AH49" s="37">
        <f>VLOOKUP(F49,P7:AA59,12,FALSE)+VLOOKUP(C49,P7:AA59,12,FALSE)</f>
        <v>2</v>
      </c>
      <c r="AI49" s="37" t="str">
        <f t="shared" si="0"/>
        <v>Croacia</v>
      </c>
      <c r="AJ49" s="37">
        <f t="shared" si="1"/>
        <v>0</v>
      </c>
      <c r="AK49" s="37" t="str">
        <f t="shared" si="2"/>
        <v>Croacia</v>
      </c>
      <c r="AL49" s="37">
        <f t="shared" si="3"/>
        <v>0</v>
      </c>
      <c r="AM49" s="37" t="str">
        <f t="shared" si="4"/>
        <v>Australia</v>
      </c>
      <c r="AN49" s="37">
        <f t="shared" si="5"/>
        <v>0</v>
      </c>
      <c r="AO49" s="37" t="str">
        <f t="shared" si="6"/>
        <v>Australia</v>
      </c>
      <c r="AP49" s="37">
        <f t="shared" si="7"/>
        <v>0</v>
      </c>
      <c r="AQ49" s="37">
        <f t="shared" si="8"/>
      </c>
      <c r="AR49" s="37">
        <f t="shared" si="9"/>
      </c>
      <c r="AS49" s="37">
        <f t="shared" si="10"/>
      </c>
      <c r="AT49" s="37">
        <f t="shared" si="11"/>
      </c>
      <c r="AU49" s="37" t="str">
        <f t="shared" si="12"/>
        <v>Croacia</v>
      </c>
      <c r="AV49" s="37">
        <f t="shared" si="13"/>
        <v>0</v>
      </c>
      <c r="AW49" s="37" t="str">
        <f t="shared" si="14"/>
        <v>Croacia</v>
      </c>
      <c r="AX49" s="37">
        <f t="shared" si="15"/>
        <v>0</v>
      </c>
      <c r="AY49" s="37" t="str">
        <f t="shared" si="16"/>
        <v>Australia</v>
      </c>
      <c r="AZ49" s="37">
        <f t="shared" si="17"/>
        <v>0</v>
      </c>
      <c r="BA49" s="37" t="str">
        <f t="shared" si="18"/>
        <v>Australia</v>
      </c>
      <c r="BB49" s="37">
        <f t="shared" si="19"/>
        <v>0</v>
      </c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</row>
    <row r="50" spans="1:102" ht="13.5" customHeight="1" thickBot="1">
      <c r="A50" s="22" t="str">
        <f>CONCATENATE(22+IF(GMT&gt;3,1,0)," ",INDEX(T,80,language))</f>
        <v>22 Jun</v>
      </c>
      <c r="B50" s="18">
        <f>TIME(20+GMT,0,0)</f>
        <v>0.7083333333333334</v>
      </c>
      <c r="C50" s="10" t="str">
        <f>P45</f>
        <v>Japón</v>
      </c>
      <c r="D50" s="20"/>
      <c r="E50" s="20"/>
      <c r="F50" s="6" t="str">
        <f>P42</f>
        <v>Brasil</v>
      </c>
      <c r="H50" s="11" t="str">
        <f>VLOOKUP(3,O49:V52,2,FALSE)</f>
        <v>Suiza</v>
      </c>
      <c r="I50" s="12">
        <f>VLOOKUP(3,O49:V52,3,FALSE)</f>
        <v>0</v>
      </c>
      <c r="J50" s="12">
        <f>VLOOKUP(3,O49:V52,4,FALSE)</f>
        <v>0</v>
      </c>
      <c r="K50" s="12">
        <f>VLOOKUP(3,O49:V52,5,FALSE)</f>
        <v>0</v>
      </c>
      <c r="L50" s="12" t="str">
        <f>CONCATENATE(VLOOKUP(3,O49:V52,6,FALSE)," - ",VLOOKUP(3,O49:V52,7,FALSE))</f>
        <v>0 - 0</v>
      </c>
      <c r="M50" s="13">
        <f>VLOOKUP(3,O49:V52,8,FALSE)</f>
        <v>0</v>
      </c>
      <c r="O50" s="36">
        <f>IF(W50&gt;W49,1,0)+IF(W50&gt;W50,1,0)+IF(W50&gt;W51,1,0)+IF(W50&gt;W52,1,0)+1</f>
        <v>3</v>
      </c>
      <c r="P50" s="37" t="str">
        <f>INDEX(T,28,language)</f>
        <v>Suiza</v>
      </c>
      <c r="Q50" s="38">
        <f>COUNTIF(AQ7:AR54,CONCATENATE(P50,"_win"))</f>
        <v>0</v>
      </c>
      <c r="R50" s="38">
        <f>COUNTIF(AQ7:AR54,CONCATENATE(P50,"_draw"))</f>
        <v>0</v>
      </c>
      <c r="S50" s="38">
        <f>COUNTIF(AQ7:AR54,CONCATENATE(P50,"_lose"))</f>
        <v>0</v>
      </c>
      <c r="T50" s="38">
        <f>SUMIF(AM7:AM54,CONCATENATE("=",P50),AN7:AN54)+SUMIF(AI7:AI54,CONCATENATE("=",P50),AJ7:AJ54)</f>
        <v>0</v>
      </c>
      <c r="U50" s="38">
        <f>SUMIF(AO7:AO54,CONCATENATE("=",P50),AP7:AP54)+SUMIF(AK7:AK54,CONCATENATE("=",P50),AL7:AL54)</f>
        <v>0</v>
      </c>
      <c r="V50" s="38">
        <f>Q50*3+R50</f>
        <v>0</v>
      </c>
      <c r="W50" s="38">
        <f>0.3+T50+(T50-U50)*100+Q50*1000+V50*10000000+AF50*10000</f>
        <v>0.3</v>
      </c>
      <c r="X50" s="37">
        <f>IF(COUNTIF(V49:V52,CONCATENATE("=",V50))=1,0,COUNTIF(V49:V52,CONCATENATE("=",V50)))*V50</f>
        <v>0</v>
      </c>
      <c r="Y50" s="37" t="str">
        <f>IF(SUM(Q49:S52)=12,H50,INDEX(T,61,language))</f>
        <v>Segundo del Grupo G</v>
      </c>
      <c r="AA50" s="38">
        <f>IF(V50=Z49,1,0)</f>
        <v>1</v>
      </c>
      <c r="AB50" s="38">
        <f>COUNTIF(AS7:AT54,CONCATENATE(P50,"_win"))</f>
        <v>0</v>
      </c>
      <c r="AC50" s="38">
        <f>SUMIF(AY7:AY54,CONCATENATE("=",P50),AZ7:AZ54)+SUMIF(AU7:AU54,CONCATENATE("=",P50),AV7:AV54)</f>
        <v>0</v>
      </c>
      <c r="AD50" s="38">
        <f>SUMIF(BA7:BA54,CONCATENATE("=",P50),BB7:BB54)+SUMIF(AW7:AW54,CONCATENATE("=",P50),AX7:AX54)</f>
        <v>0</v>
      </c>
      <c r="AE50" s="37">
        <f>300*AB50+(AC50-AD50)*10+AC50</f>
        <v>0</v>
      </c>
      <c r="AF50" s="37">
        <f>IF(AE50&gt;0,AE50,0)</f>
        <v>0</v>
      </c>
      <c r="AH50" s="37">
        <f>VLOOKUP(F50,P7:AA59,12,FALSE)+VLOOKUP(C50,P7:AA59,12,FALSE)</f>
        <v>2</v>
      </c>
      <c r="AI50" s="37" t="str">
        <f t="shared" si="0"/>
        <v>Japón</v>
      </c>
      <c r="AJ50" s="37">
        <f t="shared" si="1"/>
        <v>0</v>
      </c>
      <c r="AK50" s="37" t="str">
        <f t="shared" si="2"/>
        <v>Japón</v>
      </c>
      <c r="AL50" s="37">
        <f t="shared" si="3"/>
        <v>0</v>
      </c>
      <c r="AM50" s="37" t="str">
        <f t="shared" si="4"/>
        <v>Brasil</v>
      </c>
      <c r="AN50" s="37">
        <f t="shared" si="5"/>
        <v>0</v>
      </c>
      <c r="AO50" s="37" t="str">
        <f t="shared" si="6"/>
        <v>Brasil</v>
      </c>
      <c r="AP50" s="37">
        <f t="shared" si="7"/>
        <v>0</v>
      </c>
      <c r="AQ50" s="37">
        <f t="shared" si="8"/>
      </c>
      <c r="AR50" s="37">
        <f t="shared" si="9"/>
      </c>
      <c r="AS50" s="37">
        <f t="shared" si="10"/>
      </c>
      <c r="AT50" s="37">
        <f t="shared" si="11"/>
      </c>
      <c r="AU50" s="37" t="str">
        <f t="shared" si="12"/>
        <v>Japón</v>
      </c>
      <c r="AV50" s="37">
        <f t="shared" si="13"/>
        <v>0</v>
      </c>
      <c r="AW50" s="37" t="str">
        <f t="shared" si="14"/>
        <v>Japón</v>
      </c>
      <c r="AX50" s="37">
        <f t="shared" si="15"/>
        <v>0</v>
      </c>
      <c r="AY50" s="37" t="str">
        <f t="shared" si="16"/>
        <v>Brasil</v>
      </c>
      <c r="AZ50" s="37">
        <f t="shared" si="17"/>
        <v>0</v>
      </c>
      <c r="BA50" s="37" t="str">
        <f t="shared" si="18"/>
        <v>Brasil</v>
      </c>
      <c r="BB50" s="37">
        <f t="shared" si="19"/>
        <v>0</v>
      </c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</row>
    <row r="51" spans="1:102" ht="13.5" customHeight="1" thickBot="1">
      <c r="A51" s="22" t="str">
        <f>CONCATENATE(23+IF(GMT&gt;8,1,0)," ",INDEX(T,80,language))</f>
        <v>23 Jun</v>
      </c>
      <c r="B51" s="18">
        <f>TIME(15+GMT,0,0)</f>
        <v>0.5</v>
      </c>
      <c r="C51" s="10" t="str">
        <f>P57</f>
        <v>Ucrania</v>
      </c>
      <c r="D51" s="20"/>
      <c r="E51" s="20"/>
      <c r="F51" s="6" t="str">
        <f>P58</f>
        <v>Túnez</v>
      </c>
      <c r="H51" s="11" t="str">
        <f>VLOOKUP(2,O49:V52,2,FALSE)</f>
        <v>Sur Corea</v>
      </c>
      <c r="I51" s="12">
        <f>VLOOKUP(2,O49:V52,3,FALSE)</f>
        <v>0</v>
      </c>
      <c r="J51" s="12">
        <f>VLOOKUP(2,O49:V52,4,FALSE)</f>
        <v>0</v>
      </c>
      <c r="K51" s="12">
        <f>VLOOKUP(2,O49:V52,5,FALSE)</f>
        <v>0</v>
      </c>
      <c r="L51" s="12" t="str">
        <f>CONCATENATE(VLOOKUP(2,O49:V52,6,FALSE)," - ",VLOOKUP(2,O49:V52,7,FALSE))</f>
        <v>0 - 0</v>
      </c>
      <c r="M51" s="13">
        <f>VLOOKUP(2,O49:V52,8,FALSE)</f>
        <v>0</v>
      </c>
      <c r="O51" s="36">
        <f>IF(W51&gt;W49,1,0)+IF(W51&gt;W50,1,0)+IF(W51&gt;W51,1,0)+IF(W51&gt;W52,1,0)+1</f>
        <v>2</v>
      </c>
      <c r="P51" s="37" t="str">
        <f>INDEX(T,29,language)</f>
        <v>Sur Corea</v>
      </c>
      <c r="Q51" s="38">
        <f>COUNTIF(AQ7:AR54,CONCATENATE(P51,"_win"))</f>
        <v>0</v>
      </c>
      <c r="R51" s="38">
        <f>COUNTIF(AQ7:AR54,CONCATENATE(P51,"_draw"))</f>
        <v>0</v>
      </c>
      <c r="S51" s="38">
        <f>COUNTIF(AQ7:AR54,CONCATENATE(P51,"_lose"))</f>
        <v>0</v>
      </c>
      <c r="T51" s="38">
        <f>SUMIF(AM7:AM54,CONCATENATE("=",P51),AN7:AN54)+SUMIF(AI7:AI54,CONCATENATE("=",P51),AJ7:AJ54)</f>
        <v>0</v>
      </c>
      <c r="U51" s="38">
        <f>SUMIF(AO7:AO54,CONCATENATE("=",P51),AP7:AP54)+SUMIF(AK7:AK54,CONCATENATE("=",P51),AL7:AL54)</f>
        <v>0</v>
      </c>
      <c r="V51" s="38">
        <f>Q51*3+R51</f>
        <v>0</v>
      </c>
      <c r="W51" s="38">
        <f>0.2+T51+(T51-U51)*100+Q51*1000+V51*10000000+AF51*10000</f>
        <v>0.2</v>
      </c>
      <c r="X51" s="37">
        <f>IF(COUNTIF(V49:V52,CONCATENATE("=",V51))=1,0,COUNTIF(V49:V52,CONCATENATE("=",V51)))*V51</f>
        <v>0</v>
      </c>
      <c r="AA51" s="38">
        <f>IF(V51=Z49,1,0)</f>
        <v>1</v>
      </c>
      <c r="AB51" s="38">
        <f>COUNTIF(AS7:AT54,CONCATENATE(P51,"_win"))</f>
        <v>0</v>
      </c>
      <c r="AC51" s="38">
        <f>SUMIF(AY7:AY54,CONCATENATE("=",P51),AZ7:AZ54)+SUMIF(AU7:AU54,CONCATENATE("=",P51),AV7:AV54)</f>
        <v>0</v>
      </c>
      <c r="AD51" s="38">
        <f>SUMIF(BA7:BA54,CONCATENATE("=",P51),BB7:BB54)+SUMIF(AW7:AW54,CONCATENATE("=",P51),AX7:AX54)</f>
        <v>0</v>
      </c>
      <c r="AE51" s="37">
        <f>300*AB51+(AC51-AD51)*10+AC51</f>
        <v>0</v>
      </c>
      <c r="AF51" s="37">
        <f>IF(AE51&gt;0,AE51,0)</f>
        <v>0</v>
      </c>
      <c r="AH51" s="37">
        <f>VLOOKUP(F51,P7:AA59,12,FALSE)+VLOOKUP(C51,P7:AA59,12,FALSE)</f>
        <v>2</v>
      </c>
      <c r="AI51" s="37" t="str">
        <f t="shared" si="0"/>
        <v>Ucrania</v>
      </c>
      <c r="AJ51" s="37">
        <f t="shared" si="1"/>
        <v>0</v>
      </c>
      <c r="AK51" s="37" t="str">
        <f t="shared" si="2"/>
        <v>Ucrania</v>
      </c>
      <c r="AL51" s="37">
        <f t="shared" si="3"/>
        <v>0</v>
      </c>
      <c r="AM51" s="37" t="str">
        <f t="shared" si="4"/>
        <v>Túnez</v>
      </c>
      <c r="AN51" s="37">
        <f t="shared" si="5"/>
        <v>0</v>
      </c>
      <c r="AO51" s="37" t="str">
        <f t="shared" si="6"/>
        <v>Túnez</v>
      </c>
      <c r="AP51" s="37">
        <f t="shared" si="7"/>
        <v>0</v>
      </c>
      <c r="AQ51" s="37">
        <f t="shared" si="8"/>
      </c>
      <c r="AR51" s="37">
        <f t="shared" si="9"/>
      </c>
      <c r="AS51" s="37">
        <f t="shared" si="10"/>
      </c>
      <c r="AT51" s="37">
        <f t="shared" si="11"/>
      </c>
      <c r="AU51" s="37" t="str">
        <f t="shared" si="12"/>
        <v>Ucrania</v>
      </c>
      <c r="AV51" s="37">
        <f t="shared" si="13"/>
        <v>0</v>
      </c>
      <c r="AW51" s="37" t="str">
        <f t="shared" si="14"/>
        <v>Ucrania</v>
      </c>
      <c r="AX51" s="37">
        <f t="shared" si="15"/>
        <v>0</v>
      </c>
      <c r="AY51" s="37" t="str">
        <f t="shared" si="16"/>
        <v>Túnez</v>
      </c>
      <c r="AZ51" s="37">
        <f t="shared" si="17"/>
        <v>0</v>
      </c>
      <c r="BA51" s="37" t="str">
        <f t="shared" si="18"/>
        <v>Túnez</v>
      </c>
      <c r="BB51" s="37">
        <f t="shared" si="19"/>
        <v>0</v>
      </c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</row>
    <row r="52" spans="1:102" ht="13.5" customHeight="1" thickBot="1">
      <c r="A52" s="22" t="str">
        <f>CONCATENATE(23+IF(GMT&gt;8,1,0)," ",INDEX(T,80,language))</f>
        <v>23 Jun</v>
      </c>
      <c r="B52" s="18">
        <f>TIME(15+GMT,0,0)</f>
        <v>0.5</v>
      </c>
      <c r="C52" s="10" t="str">
        <f>P59</f>
        <v>Arabia Saudí</v>
      </c>
      <c r="D52" s="20"/>
      <c r="E52" s="20"/>
      <c r="F52" s="6" t="str">
        <f>P56</f>
        <v>España</v>
      </c>
      <c r="H52" s="14" t="str">
        <f>VLOOKUP(1,O49:V52,2,FALSE)</f>
        <v>Togo</v>
      </c>
      <c r="I52" s="15">
        <f>VLOOKUP(1,O49:V52,3,FALSE)</f>
        <v>0</v>
      </c>
      <c r="J52" s="15">
        <f>VLOOKUP(1,O49:V52,4,FALSE)</f>
        <v>0</v>
      </c>
      <c r="K52" s="15">
        <f>VLOOKUP(1,O49:V52,5,FALSE)</f>
        <v>0</v>
      </c>
      <c r="L52" s="15" t="str">
        <f>CONCATENATE(VLOOKUP(1,O49:V52,6,FALSE)," - ",VLOOKUP(1,O49:V52,7,FALSE))</f>
        <v>0 - 0</v>
      </c>
      <c r="M52" s="16">
        <f>VLOOKUP(1,O49:V52,8,FALSE)</f>
        <v>0</v>
      </c>
      <c r="O52" s="36">
        <f>IF(W52&gt;W49,1,0)+IF(W52&gt;W50,1,0)+IF(W52&gt;W51,1,0)+IF(W52&gt;W52,1,0)+1</f>
        <v>1</v>
      </c>
      <c r="P52" s="37" t="str">
        <f>INDEX(T,30,language)</f>
        <v>Togo</v>
      </c>
      <c r="Q52" s="38">
        <f>COUNTIF(AQ7:AR54,CONCATENATE(P52,"_win"))</f>
        <v>0</v>
      </c>
      <c r="R52" s="38">
        <f>COUNTIF(AQ7:AR54,CONCATENATE(P52,"_draw"))</f>
        <v>0</v>
      </c>
      <c r="S52" s="38">
        <f>COUNTIF(AQ7:AR54,CONCATENATE(P52,"_lose"))</f>
        <v>0</v>
      </c>
      <c r="T52" s="38">
        <f>SUMIF(AM7:AM54,CONCATENATE("=",P52),AN7:AN54)+SUMIF(AI7:AI54,CONCATENATE("=",P52),AJ7:AJ54)</f>
        <v>0</v>
      </c>
      <c r="U52" s="38">
        <f>SUMIF(AO7:AO54,CONCATENATE("=",P52),AP7:AP54)+SUMIF(AK7:AK54,CONCATENATE("=",P52),AL7:AL54)</f>
        <v>0</v>
      </c>
      <c r="V52" s="38">
        <f>Q52*3+R52</f>
        <v>0</v>
      </c>
      <c r="W52" s="38">
        <f>0.1+T52+(T52-U52)*100+Q52*1000+V52*10000000+AF52*10000</f>
        <v>0.1</v>
      </c>
      <c r="X52" s="37">
        <f>IF(COUNTIF(V49:V52,CONCATENATE("=",V52))=1,0,COUNTIF(V49:V52,CONCATENATE("=",V52)))*V52</f>
        <v>0</v>
      </c>
      <c r="AA52" s="38">
        <f>IF(V52=Z49,1,0)</f>
        <v>1</v>
      </c>
      <c r="AB52" s="38">
        <f>COUNTIF(AS7:AT54,CONCATENATE(P52,"_win"))</f>
        <v>0</v>
      </c>
      <c r="AC52" s="38">
        <f>SUMIF(AY7:AY54,CONCATENATE("=",P52),AZ7:AZ54)+SUMIF(AU7:AU54,CONCATENATE("=",P52),AV7:AV54)</f>
        <v>0</v>
      </c>
      <c r="AD52" s="38">
        <f>SUMIF(BA7:BA54,CONCATENATE("=",P52),BB7:BB54)+SUMIF(AW7:AW54,CONCATENATE("=",P52),AX7:AX54)</f>
        <v>0</v>
      </c>
      <c r="AE52" s="37">
        <f>300*AB52+(AC52-AD52)*10+AC52</f>
        <v>0</v>
      </c>
      <c r="AF52" s="37">
        <f>IF(AE52&gt;0,AE52,0)</f>
        <v>0</v>
      </c>
      <c r="AH52" s="37">
        <f>VLOOKUP(F52,P7:AA59,12,FALSE)+VLOOKUP(C52,P7:AA59,12,FALSE)</f>
        <v>2</v>
      </c>
      <c r="AI52" s="37" t="str">
        <f t="shared" si="0"/>
        <v>Arabia Saudí</v>
      </c>
      <c r="AJ52" s="37">
        <f t="shared" si="1"/>
        <v>0</v>
      </c>
      <c r="AK52" s="37" t="str">
        <f t="shared" si="2"/>
        <v>Arabia Saudí</v>
      </c>
      <c r="AL52" s="37">
        <f t="shared" si="3"/>
        <v>0</v>
      </c>
      <c r="AM52" s="37" t="str">
        <f t="shared" si="4"/>
        <v>España</v>
      </c>
      <c r="AN52" s="37">
        <f t="shared" si="5"/>
        <v>0</v>
      </c>
      <c r="AO52" s="37" t="str">
        <f t="shared" si="6"/>
        <v>España</v>
      </c>
      <c r="AP52" s="37">
        <f t="shared" si="7"/>
        <v>0</v>
      </c>
      <c r="AQ52" s="37">
        <f t="shared" si="8"/>
      </c>
      <c r="AR52" s="37">
        <f t="shared" si="9"/>
      </c>
      <c r="AS52" s="37">
        <f t="shared" si="10"/>
      </c>
      <c r="AT52" s="37">
        <f t="shared" si="11"/>
      </c>
      <c r="AU52" s="37" t="str">
        <f t="shared" si="12"/>
        <v>Arabia Saudí</v>
      </c>
      <c r="AV52" s="37">
        <f t="shared" si="13"/>
        <v>0</v>
      </c>
      <c r="AW52" s="37" t="str">
        <f t="shared" si="14"/>
        <v>Arabia Saudí</v>
      </c>
      <c r="AX52" s="37">
        <f t="shared" si="15"/>
        <v>0</v>
      </c>
      <c r="AY52" s="37" t="str">
        <f t="shared" si="16"/>
        <v>España</v>
      </c>
      <c r="AZ52" s="37">
        <f t="shared" si="17"/>
        <v>0</v>
      </c>
      <c r="BA52" s="37" t="str">
        <f t="shared" si="18"/>
        <v>España</v>
      </c>
      <c r="BB52" s="37">
        <f t="shared" si="19"/>
        <v>0</v>
      </c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</row>
    <row r="53" spans="1:102" ht="13.5" customHeight="1" thickBot="1">
      <c r="A53" s="22" t="str">
        <f>CONCATENATE(23+IF(GMT&gt;3,1,0)," ",INDEX(T,80,language))</f>
        <v>23 Jun</v>
      </c>
      <c r="B53" s="18">
        <f>TIME(20+GMT,0,0)</f>
        <v>0.7083333333333334</v>
      </c>
      <c r="C53" s="10" t="str">
        <f>P50</f>
        <v>Suiza</v>
      </c>
      <c r="D53" s="20"/>
      <c r="E53" s="20"/>
      <c r="F53" s="6" t="str">
        <f>P51</f>
        <v>Sur Corea</v>
      </c>
      <c r="X53" s="37">
        <f>MAX(X49:X52)</f>
        <v>0</v>
      </c>
      <c r="AH53" s="37">
        <f>VLOOKUP(F53,P7:AA59,12,FALSE)+VLOOKUP(C53,P7:AA59,12,FALSE)</f>
        <v>2</v>
      </c>
      <c r="AI53" s="37" t="str">
        <f t="shared" si="0"/>
        <v>Suiza</v>
      </c>
      <c r="AJ53" s="37">
        <f t="shared" si="1"/>
        <v>0</v>
      </c>
      <c r="AK53" s="37" t="str">
        <f t="shared" si="2"/>
        <v>Suiza</v>
      </c>
      <c r="AL53" s="37">
        <f t="shared" si="3"/>
        <v>0</v>
      </c>
      <c r="AM53" s="37" t="str">
        <f t="shared" si="4"/>
        <v>Sur Corea</v>
      </c>
      <c r="AN53" s="37">
        <f t="shared" si="5"/>
        <v>0</v>
      </c>
      <c r="AO53" s="37" t="str">
        <f t="shared" si="6"/>
        <v>Sur Corea</v>
      </c>
      <c r="AP53" s="37">
        <f t="shared" si="7"/>
        <v>0</v>
      </c>
      <c r="AQ53" s="37">
        <f t="shared" si="8"/>
      </c>
      <c r="AR53" s="37">
        <f t="shared" si="9"/>
      </c>
      <c r="AS53" s="37">
        <f t="shared" si="10"/>
      </c>
      <c r="AT53" s="37">
        <f t="shared" si="11"/>
      </c>
      <c r="AU53" s="37" t="str">
        <f t="shared" si="12"/>
        <v>Suiza</v>
      </c>
      <c r="AV53" s="37">
        <f t="shared" si="13"/>
        <v>0</v>
      </c>
      <c r="AW53" s="37" t="str">
        <f t="shared" si="14"/>
        <v>Suiza</v>
      </c>
      <c r="AX53" s="37">
        <f t="shared" si="15"/>
        <v>0</v>
      </c>
      <c r="AY53" s="37" t="str">
        <f t="shared" si="16"/>
        <v>Sur Corea</v>
      </c>
      <c r="AZ53" s="37">
        <f t="shared" si="17"/>
        <v>0</v>
      </c>
      <c r="BA53" s="37" t="str">
        <f t="shared" si="18"/>
        <v>Sur Corea</v>
      </c>
      <c r="BB53" s="37">
        <f t="shared" si="19"/>
        <v>0</v>
      </c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</row>
    <row r="54" spans="1:102" ht="13.5" customHeight="1" thickBot="1">
      <c r="A54" s="22" t="str">
        <f>CONCATENATE(23+IF(GMT&gt;3,1,0)," ",INDEX(T,80,language))</f>
        <v>23 Jun</v>
      </c>
      <c r="B54" s="18">
        <f>TIME(20+GMT,0,0)</f>
        <v>0.7083333333333334</v>
      </c>
      <c r="C54" s="10" t="str">
        <f>P52</f>
        <v>Togo</v>
      </c>
      <c r="D54" s="20"/>
      <c r="E54" s="20"/>
      <c r="F54" s="6" t="str">
        <f>P49</f>
        <v>Francia</v>
      </c>
      <c r="H54" s="56" t="str">
        <f>CONCATENATE(INDEX(T,40,language)," H")</f>
        <v>Grupo H</v>
      </c>
      <c r="I54" s="58" t="str">
        <f>INDEX(T,35,language)</f>
        <v>PG</v>
      </c>
      <c r="J54" s="58" t="str">
        <f>INDEX(T,36,language)</f>
        <v>PE</v>
      </c>
      <c r="K54" s="58" t="str">
        <f>INDEX(T,37,language)</f>
        <v>PP</v>
      </c>
      <c r="L54" s="58" t="str">
        <f>INDEX(T,38,language)</f>
        <v>Gf - Gv</v>
      </c>
      <c r="M54" s="60" t="str">
        <f>INDEX(T,39,language)</f>
        <v>Pts</v>
      </c>
      <c r="AH54" s="37">
        <f>VLOOKUP(F54,P7:AA59,12,FALSE)+VLOOKUP(C54,P7:AA59,12,FALSE)</f>
        <v>2</v>
      </c>
      <c r="AI54" s="37" t="str">
        <f t="shared" si="0"/>
        <v>Togo</v>
      </c>
      <c r="AJ54" s="37">
        <f t="shared" si="1"/>
        <v>0</v>
      </c>
      <c r="AK54" s="37" t="str">
        <f t="shared" si="2"/>
        <v>Togo</v>
      </c>
      <c r="AL54" s="37">
        <f t="shared" si="3"/>
        <v>0</v>
      </c>
      <c r="AM54" s="37" t="str">
        <f t="shared" si="4"/>
        <v>Francia</v>
      </c>
      <c r="AN54" s="37">
        <f t="shared" si="5"/>
        <v>0</v>
      </c>
      <c r="AO54" s="37" t="str">
        <f t="shared" si="6"/>
        <v>Francia</v>
      </c>
      <c r="AP54" s="37">
        <f t="shared" si="7"/>
        <v>0</v>
      </c>
      <c r="AQ54" s="37">
        <f t="shared" si="8"/>
      </c>
      <c r="AR54" s="37">
        <f t="shared" si="9"/>
      </c>
      <c r="AS54" s="37">
        <f t="shared" si="10"/>
      </c>
      <c r="AT54" s="37">
        <f t="shared" si="11"/>
      </c>
      <c r="AU54" s="37" t="str">
        <f t="shared" si="12"/>
        <v>Togo</v>
      </c>
      <c r="AV54" s="37">
        <f t="shared" si="13"/>
        <v>0</v>
      </c>
      <c r="AW54" s="37" t="str">
        <f t="shared" si="14"/>
        <v>Togo</v>
      </c>
      <c r="AX54" s="37">
        <f t="shared" si="15"/>
        <v>0</v>
      </c>
      <c r="AY54" s="37" t="str">
        <f t="shared" si="16"/>
        <v>Francia</v>
      </c>
      <c r="AZ54" s="37">
        <f t="shared" si="17"/>
        <v>0</v>
      </c>
      <c r="BA54" s="37" t="str">
        <f t="shared" si="18"/>
        <v>Francia</v>
      </c>
      <c r="BB54" s="37">
        <f t="shared" si="19"/>
        <v>0</v>
      </c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</row>
    <row r="55" spans="1:102" ht="13.5" customHeight="1" thickBot="1">
      <c r="A55" s="25"/>
      <c r="B55" s="18"/>
      <c r="C55" s="10"/>
      <c r="D55" s="12"/>
      <c r="E55" s="12"/>
      <c r="F55" s="6"/>
      <c r="H55" s="57"/>
      <c r="I55" s="59"/>
      <c r="J55" s="59"/>
      <c r="K55" s="59"/>
      <c r="L55" s="59"/>
      <c r="M55" s="6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</row>
    <row r="56" spans="1:102" ht="13.5" customHeight="1">
      <c r="A56" s="46" t="str">
        <f>INDEX(T,42,language)</f>
        <v>Segunda Ronda</v>
      </c>
      <c r="B56" s="47"/>
      <c r="C56" s="47"/>
      <c r="D56" s="47"/>
      <c r="E56" s="47"/>
      <c r="F56" s="48"/>
      <c r="H56" s="7" t="str">
        <f>VLOOKUP(4,O56:V59,2,FALSE)</f>
        <v>España</v>
      </c>
      <c r="I56" s="8">
        <f>VLOOKUP(4,O56:V59,3,FALSE)</f>
        <v>0</v>
      </c>
      <c r="J56" s="8">
        <f>VLOOKUP(4,O56:V59,4,FALSE)</f>
        <v>0</v>
      </c>
      <c r="K56" s="8">
        <f>VLOOKUP(4,O56:V59,5,FALSE)</f>
        <v>0</v>
      </c>
      <c r="L56" s="8" t="str">
        <f>CONCATENATE(VLOOKUP(4,O56:V59,6,FALSE)," - ",VLOOKUP(4,O56:V59,7,FALSE))</f>
        <v>0 - 0</v>
      </c>
      <c r="M56" s="9">
        <f>VLOOKUP(4,O56:V59,8,FALSE)</f>
        <v>0</v>
      </c>
      <c r="O56" s="36">
        <f>IF(W56&gt;W56,1,0)+IF(W56&gt;W57,1,0)+IF(W56&gt;W58,1,0)+IF(W56&gt;W59,1,0)+1</f>
        <v>4</v>
      </c>
      <c r="P56" s="37" t="str">
        <f>INDEX(T,31,language)</f>
        <v>España</v>
      </c>
      <c r="Q56" s="38">
        <f>COUNTIF(AQ7:AR54,CONCATENATE(P56,"_win"))</f>
        <v>0</v>
      </c>
      <c r="R56" s="38">
        <f>COUNTIF(AQ7:AR54,CONCATENATE(P56,"_draw"))</f>
        <v>0</v>
      </c>
      <c r="S56" s="38">
        <f>COUNTIF(AQ7:AR54,CONCATENATE(P56,"_lose"))</f>
        <v>0</v>
      </c>
      <c r="T56" s="38">
        <f>SUMIF(AM7:AM54,CONCATENATE("=",P56),AN7:AN54)+SUMIF(AI7:AI54,CONCATENATE("=",P56),AJ7:AJ54)</f>
        <v>0</v>
      </c>
      <c r="U56" s="38">
        <f>SUMIF(AO7:AO54,CONCATENATE("=",P56),AP7:AP54)+SUMIF(AK7:AK54,CONCATENATE("=",P56),AL7:AL54)</f>
        <v>0</v>
      </c>
      <c r="V56" s="38">
        <f>Q56*3+R56</f>
        <v>0</v>
      </c>
      <c r="W56" s="38">
        <f>0.4+T56+(T56-U56)*100+Q56*1000+V56*10000000+AF56*10000</f>
        <v>0.4</v>
      </c>
      <c r="X56" s="37">
        <f>IF(COUNTIF(V56:V59,CONCATENATE("=",V56))=1,0,COUNTIF(V56:V59,CONCATENATE("=",V56)))*V56</f>
        <v>0</v>
      </c>
      <c r="Y56" s="37" t="str">
        <f>IF(SUM(Q56:S59)=12,H56,INDEX(T,62,language))</f>
        <v>Primero del Grupo H</v>
      </c>
      <c r="Z56" s="38">
        <f>IF(X56=X60,V56,IF(X57=X60,V57,IF(X58=X60,V58,V59)))</f>
        <v>0</v>
      </c>
      <c r="AA56" s="38">
        <f>IF(V56=Z56,1,0)</f>
        <v>1</v>
      </c>
      <c r="AB56" s="38">
        <f>COUNTIF(AS7:AT54,CONCATENATE(P56,"_win"))</f>
        <v>0</v>
      </c>
      <c r="AC56" s="38">
        <f>SUMIF(AY7:AY54,CONCATENATE("=",P56),AZ7:AZ54)+SUMIF(AU7:AU54,CONCATENATE("=",P56),AV7:AV54)</f>
        <v>0</v>
      </c>
      <c r="AD56" s="38">
        <f>SUMIF(BA7:BA54,CONCATENATE("=",P56),BB7:BB54)+SUMIF(AW7:AW54,CONCATENATE("=",P56),AX7:AX54)</f>
        <v>0</v>
      </c>
      <c r="AE56" s="37">
        <f>300*AB56+(AC56-AD56)*10+AC56</f>
        <v>0</v>
      </c>
      <c r="AF56" s="37">
        <f>IF(AE56&gt;0,AE56,0)</f>
        <v>0</v>
      </c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</row>
    <row r="57" spans="1:102" ht="13.5" customHeight="1" thickBot="1">
      <c r="A57" s="49"/>
      <c r="B57" s="50"/>
      <c r="C57" s="50"/>
      <c r="D57" s="50"/>
      <c r="E57" s="50"/>
      <c r="F57" s="51"/>
      <c r="H57" s="11" t="str">
        <f>VLOOKUP(3,O56:V59,2,FALSE)</f>
        <v>Ucrania</v>
      </c>
      <c r="I57" s="12">
        <f>VLOOKUP(3,O56:V59,3,FALSE)</f>
        <v>0</v>
      </c>
      <c r="J57" s="12">
        <f>VLOOKUP(3,O56:V59,4,FALSE)</f>
        <v>0</v>
      </c>
      <c r="K57" s="12">
        <f>VLOOKUP(3,O56:V59,5,FALSE)</f>
        <v>0</v>
      </c>
      <c r="L57" s="12" t="str">
        <f>CONCATENATE(VLOOKUP(3,O56:V59,6,FALSE)," - ",VLOOKUP(3,O56:V59,7,FALSE))</f>
        <v>0 - 0</v>
      </c>
      <c r="M57" s="13">
        <f>VLOOKUP(3,O56:V59,8,FALSE)</f>
        <v>0</v>
      </c>
      <c r="O57" s="36">
        <f>IF(W57&gt;W56,1,0)+IF(W57&gt;W57,1,0)+IF(W57&gt;W58,1,0)+IF(W57&gt;W59,1,0)+1</f>
        <v>3</v>
      </c>
      <c r="P57" s="37" t="str">
        <f>INDEX(T,32,language)</f>
        <v>Ucrania</v>
      </c>
      <c r="Q57" s="38">
        <f>COUNTIF(AQ7:AR54,CONCATENATE(P57,"_win"))</f>
        <v>0</v>
      </c>
      <c r="R57" s="38">
        <f>COUNTIF(AQ7:AR54,CONCATENATE(P57,"_draw"))</f>
        <v>0</v>
      </c>
      <c r="S57" s="38">
        <f>COUNTIF(AQ7:AR54,CONCATENATE(P57,"_lose"))</f>
        <v>0</v>
      </c>
      <c r="T57" s="38">
        <f>SUMIF(AM7:AM54,CONCATENATE("=",P57),AN7:AN54)+SUMIF(AI7:AI54,CONCATENATE("=",P57),AJ7:AJ54)</f>
        <v>0</v>
      </c>
      <c r="U57" s="38">
        <f>SUMIF(AO7:AO54,CONCATENATE("=",P57),AP7:AP54)+SUMIF(AK7:AK54,CONCATENATE("=",P57),AL7:AL54)</f>
        <v>0</v>
      </c>
      <c r="V57" s="38">
        <f>Q57*3+R57</f>
        <v>0</v>
      </c>
      <c r="W57" s="38">
        <f>0.3+T57+(T57-U57)*100+Q57*1000+V57*10000000+AF57*10000</f>
        <v>0.3</v>
      </c>
      <c r="X57" s="37">
        <f>IF(COUNTIF(V56:V59,CONCATENATE("=",V57))=1,0,COUNTIF(V56:V59,CONCATENATE("=",V57)))*V57</f>
        <v>0</v>
      </c>
      <c r="Y57" s="37" t="str">
        <f>IF(SUM(Q56:S59)=12,H57,INDEX(T,63,language))</f>
        <v>Segundo del Grupo H</v>
      </c>
      <c r="AA57" s="38">
        <f>IF(V57=Z56,1,0)</f>
        <v>1</v>
      </c>
      <c r="AB57" s="38">
        <f>COUNTIF(AS7:AT54,CONCATENATE(P57,"_win"))</f>
        <v>0</v>
      </c>
      <c r="AC57" s="38">
        <f>SUMIF(AY7:AY54,CONCATENATE("=",P57),AZ7:AZ54)+SUMIF(AU7:AU54,CONCATENATE("=",P57),AV7:AV54)</f>
        <v>0</v>
      </c>
      <c r="AD57" s="38">
        <f>SUMIF(BA7:BA54,CONCATENATE("=",P57),BB7:BB54)+SUMIF(AW7:AW54,CONCATENATE("=",P57),AX7:AX54)</f>
        <v>0</v>
      </c>
      <c r="AE57" s="37">
        <f>300*AB57+(AC57-AD57)*10+AC57</f>
        <v>0</v>
      </c>
      <c r="AF57" s="37">
        <f>IF(AE57&gt;0,AE57,0)</f>
        <v>0</v>
      </c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</row>
    <row r="58" spans="1:102" ht="13.5" customHeight="1" thickBot="1">
      <c r="A58" s="24" t="str">
        <f>CONCATENATE(24+IF(GMT&gt;7,1,0)," ",INDEX(T,80,language))</f>
        <v>24 Jun</v>
      </c>
      <c r="B58" s="18">
        <f>TIME(16+GMT,0,0)</f>
        <v>0.5416666666666666</v>
      </c>
      <c r="C58" s="3" t="str">
        <f>Y7</f>
        <v>Primero del Grupo A</v>
      </c>
      <c r="D58" s="20"/>
      <c r="E58" s="20"/>
      <c r="F58" s="4" t="str">
        <f>Y15</f>
        <v>Segundo del Grupo B</v>
      </c>
      <c r="H58" s="11" t="str">
        <f>VLOOKUP(2,O56:V59,2,FALSE)</f>
        <v>Túnez</v>
      </c>
      <c r="I58" s="12">
        <f>VLOOKUP(2,O56:V59,3,FALSE)</f>
        <v>0</v>
      </c>
      <c r="J58" s="12">
        <f>VLOOKUP(2,O56:V59,4,FALSE)</f>
        <v>0</v>
      </c>
      <c r="K58" s="12">
        <f>VLOOKUP(2,O56:V59,5,FALSE)</f>
        <v>0</v>
      </c>
      <c r="L58" s="12" t="str">
        <f>CONCATENATE(VLOOKUP(2,O56:V59,6,FALSE)," - ",VLOOKUP(2,O56:V59,7,FALSE))</f>
        <v>0 - 0</v>
      </c>
      <c r="M58" s="13">
        <f>VLOOKUP(2,O56:V59,8,FALSE)</f>
        <v>0</v>
      </c>
      <c r="O58" s="36">
        <f>IF(W58&gt;W56,1,0)+IF(W58&gt;W57,1,0)+IF(W58&gt;W58,1,0)+IF(W58&gt;W59,1,0)+1</f>
        <v>2</v>
      </c>
      <c r="P58" s="37" t="str">
        <f>INDEX(T,33,language)</f>
        <v>Túnez</v>
      </c>
      <c r="Q58" s="38">
        <f>COUNTIF(AQ7:AR54,CONCATENATE(P58,"_win"))</f>
        <v>0</v>
      </c>
      <c r="R58" s="38">
        <f>COUNTIF(AQ7:AR54,CONCATENATE(P58,"_draw"))</f>
        <v>0</v>
      </c>
      <c r="S58" s="38">
        <f>COUNTIF(AQ7:AR54,CONCATENATE(P58,"_lose"))</f>
        <v>0</v>
      </c>
      <c r="T58" s="38">
        <f>SUMIF(AM7:AM54,CONCATENATE("=",P58),AN7:AN54)+SUMIF(AI7:AI54,CONCATENATE("=",P58),AJ7:AJ54)</f>
        <v>0</v>
      </c>
      <c r="U58" s="38">
        <f>SUMIF(AO7:AO54,CONCATENATE("=",P58),AP7:AP54)+SUMIF(AK7:AK54,CONCATENATE("=",P58),AL7:AL54)</f>
        <v>0</v>
      </c>
      <c r="V58" s="38">
        <f>Q58*3+R58</f>
        <v>0</v>
      </c>
      <c r="W58" s="38">
        <f>0.2+T58+(T58-U58)*100+Q58*1000+V58*10000000+AF58*10000</f>
        <v>0.2</v>
      </c>
      <c r="X58" s="37">
        <f>IF(COUNTIF(V56:V59,CONCATENATE("=",V58))=1,0,COUNTIF(V56:V59,CONCATENATE("=",V58)))*V58</f>
        <v>0</v>
      </c>
      <c r="AA58" s="38">
        <f>IF(V58=Z56,1,0)</f>
        <v>1</v>
      </c>
      <c r="AB58" s="38">
        <f>COUNTIF(AS7:AT54,CONCATENATE(P58,"_win"))</f>
        <v>0</v>
      </c>
      <c r="AC58" s="38">
        <f>SUMIF(AY7:AY54,CONCATENATE("=",P58),AZ7:AZ54)+SUMIF(AU7:AU54,CONCATENATE("=",P58),AV7:AV54)</f>
        <v>0</v>
      </c>
      <c r="AD58" s="38">
        <f>SUMIF(BA7:BA54,CONCATENATE("=",P58),BB7:BB54)+SUMIF(AW7:AW54,CONCATENATE("=",P58),AX7:AX54)</f>
        <v>0</v>
      </c>
      <c r="AE58" s="37">
        <f>300*AB58+(AC58-AD58)*10+AC58</f>
        <v>0</v>
      </c>
      <c r="AF58" s="37">
        <f>IF(AE58&gt;0,AE58,0)</f>
        <v>0</v>
      </c>
      <c r="AI58" s="37" t="str">
        <f>IF(AJ58="",INDEX(T,64,language),AJ58)</f>
        <v>Ganador partido 1A vs 2B</v>
      </c>
      <c r="AJ58" s="37">
        <f aca="true" t="shared" si="20" ref="AJ58:AJ65">IF(D58="","",IF(E58="","",IF(D58&gt;E58,C58,IF(D58&lt;E58,F58,""))))</f>
      </c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</row>
    <row r="59" spans="1:102" ht="13.5" customHeight="1" thickBot="1">
      <c r="A59" s="24" t="str">
        <f>CONCATENATE(24+IF(GMT&gt;3,1,0)," ",INDEX(T,80,language))</f>
        <v>24 Jun</v>
      </c>
      <c r="B59" s="18">
        <f>TIME(20+GMT,0,0)</f>
        <v>0.7083333333333334</v>
      </c>
      <c r="C59" s="3" t="str">
        <f>Y21</f>
        <v>Primero del Grupo C</v>
      </c>
      <c r="D59" s="20"/>
      <c r="E59" s="20"/>
      <c r="F59" s="4" t="str">
        <f>Y29</f>
        <v>Segundo del Grupo D</v>
      </c>
      <c r="H59" s="14" t="str">
        <f>VLOOKUP(1,O56:V59,2,FALSE)</f>
        <v>Arabia Saudí</v>
      </c>
      <c r="I59" s="15">
        <f>VLOOKUP(1,O56:V59,3,FALSE)</f>
        <v>0</v>
      </c>
      <c r="J59" s="15">
        <f>VLOOKUP(1,O56:V59,4,FALSE)</f>
        <v>0</v>
      </c>
      <c r="K59" s="15">
        <f>VLOOKUP(1,O56:V59,5,FALSE)</f>
        <v>0</v>
      </c>
      <c r="L59" s="15" t="str">
        <f>CONCATENATE(VLOOKUP(1,O56:V59,6,FALSE)," - ",VLOOKUP(1,O56:V59,7,FALSE))</f>
        <v>0 - 0</v>
      </c>
      <c r="M59" s="16">
        <f>VLOOKUP(1,O56:V59,8,FALSE)</f>
        <v>0</v>
      </c>
      <c r="O59" s="36">
        <f>IF(W59&gt;W56,1,0)+IF(W59&gt;W57,1,0)+IF(W59&gt;W58,1,0)+IF(W59&gt;W59,1,0)+1</f>
        <v>1</v>
      </c>
      <c r="P59" s="37" t="str">
        <f>INDEX(T,34,language)</f>
        <v>Arabia Saudí</v>
      </c>
      <c r="Q59" s="38">
        <f>COUNTIF(AQ7:AR54,CONCATENATE(P59,"_win"))</f>
        <v>0</v>
      </c>
      <c r="R59" s="38">
        <f>COUNTIF(AQ7:AR54,CONCATENATE(P59,"_draw"))</f>
        <v>0</v>
      </c>
      <c r="S59" s="38">
        <f>COUNTIF(AQ7:AR54,CONCATENATE(P59,"_lose"))</f>
        <v>0</v>
      </c>
      <c r="T59" s="38">
        <f>SUMIF(AM7:AM54,CONCATENATE("=",P59),AN7:AN54)+SUMIF(AI7:AI54,CONCATENATE("=",P59),AJ7:AJ54)</f>
        <v>0</v>
      </c>
      <c r="U59" s="38">
        <f>SUMIF(AO7:AO54,CONCATENATE("=",P59),AP7:AP54)+SUMIF(AK7:AK54,CONCATENATE("=",P59),AL7:AL54)</f>
        <v>0</v>
      </c>
      <c r="V59" s="38">
        <f>Q59*3+R59</f>
        <v>0</v>
      </c>
      <c r="W59" s="38">
        <f>0.1+T59+(T59-U59)*100+Q59*1000+V59*10000000+AF59*10000</f>
        <v>0.1</v>
      </c>
      <c r="X59" s="37">
        <f>IF(COUNTIF(V56:V59,CONCATENATE("=",V59))=1,0,COUNTIF(V56:V59,CONCATENATE("=",V59)))*V59</f>
        <v>0</v>
      </c>
      <c r="AA59" s="38">
        <f>IF(V59=Z56,1,0)</f>
        <v>1</v>
      </c>
      <c r="AB59" s="38">
        <f>COUNTIF(AS7:AT54,CONCATENATE(P59,"_win"))</f>
        <v>0</v>
      </c>
      <c r="AC59" s="38">
        <f>SUMIF(AY7:AY54,CONCATENATE("=",P59),AZ7:AZ54)+SUMIF(AU7:AU54,CONCATENATE("=",P59),AV7:AV54)</f>
        <v>0</v>
      </c>
      <c r="AD59" s="38">
        <f>SUMIF(BA7:BA54,CONCATENATE("=",P59),BB7:BB54)+SUMIF(AW7:AW54,CONCATENATE("=",P59),AX7:AX54)</f>
        <v>0</v>
      </c>
      <c r="AE59" s="37">
        <f>300*AB59+(AC59-AD59)*10+AC59</f>
        <v>0</v>
      </c>
      <c r="AF59" s="37">
        <f>IF(AE59&gt;0,AE59,0)</f>
        <v>0</v>
      </c>
      <c r="AI59" s="37" t="str">
        <f>IF(AJ59="",INDEX(T,65,language),AJ59)</f>
        <v>Ganador partido 1C vs 2D</v>
      </c>
      <c r="AJ59" s="37">
        <f t="shared" si="20"/>
      </c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</row>
    <row r="60" spans="1:102" ht="13.5" customHeight="1" thickBot="1">
      <c r="A60" s="24" t="str">
        <f>CONCATENATE(25+IF(GMT&gt;7,1,0)," ",INDEX(T,80,language))</f>
        <v>25 Jun</v>
      </c>
      <c r="B60" s="18">
        <f>TIME(16+GMT,0,0)</f>
        <v>0.5416666666666666</v>
      </c>
      <c r="C60" s="3" t="str">
        <f>Y14</f>
        <v>Primero del Grupo B</v>
      </c>
      <c r="D60" s="20"/>
      <c r="E60" s="20"/>
      <c r="F60" s="4" t="str">
        <f>Y8</f>
        <v>Segundo del Grupo B</v>
      </c>
      <c r="X60" s="37">
        <f>MAX(X56:X59)</f>
        <v>0</v>
      </c>
      <c r="AI60" s="37" t="str">
        <f>IF(AJ60="",INDEX(T,66,language),AJ60)</f>
        <v>Ganador partido 1B vs 2A</v>
      </c>
      <c r="AJ60" s="37">
        <f t="shared" si="20"/>
      </c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</row>
    <row r="61" spans="1:102" ht="13.5" customHeight="1" thickBot="1">
      <c r="A61" s="24" t="str">
        <f>CONCATENATE(25+IF(GMT&gt;3,1,0)," ",INDEX(T,80,language))</f>
        <v>25 Jun</v>
      </c>
      <c r="B61" s="18">
        <f>TIME(20+GMT,0,0)</f>
        <v>0.7083333333333334</v>
      </c>
      <c r="C61" s="3" t="str">
        <f>Y28</f>
        <v>Primero del Grupo D</v>
      </c>
      <c r="D61" s="20"/>
      <c r="E61" s="20"/>
      <c r="F61" s="4" t="str">
        <f>Y22</f>
        <v>Segundo del Grupo C</v>
      </c>
      <c r="AI61" s="37" t="str">
        <f>IF(AJ61="",INDEX(T,67,language),AJ61)</f>
        <v>Ganador partido 1D vs 2C</v>
      </c>
      <c r="AJ61" s="37">
        <f t="shared" si="20"/>
      </c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</row>
    <row r="62" spans="1:102" ht="13.5" customHeight="1" thickBot="1">
      <c r="A62" s="24" t="str">
        <f>CONCATENATE(26+IF(GMT&gt;7,1,0)," ",INDEX(T,80,language))</f>
        <v>26 Jun</v>
      </c>
      <c r="B62" s="18">
        <f>TIME(16+GMT,0,0)</f>
        <v>0.5416666666666666</v>
      </c>
      <c r="C62" s="3" t="str">
        <f>Y35</f>
        <v>Primero del Grupo E</v>
      </c>
      <c r="D62" s="20"/>
      <c r="E62" s="20"/>
      <c r="F62" s="4" t="str">
        <f>Y43</f>
        <v>Segundo del Grupo F</v>
      </c>
      <c r="AI62" s="37" t="str">
        <f>IF(AJ62="",INDEX(T,68,language),AJ62)</f>
        <v>Ganador partido 1E vs 2F</v>
      </c>
      <c r="AJ62" s="37">
        <f t="shared" si="20"/>
      </c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</row>
    <row r="63" spans="1:102" ht="13.5" customHeight="1" thickBot="1">
      <c r="A63" s="24" t="str">
        <f>CONCATENATE(26+IF(GMT&gt;3,1,0)," ",INDEX(T,80,language))</f>
        <v>26 Jun</v>
      </c>
      <c r="B63" s="18">
        <f>TIME(20+GMT,0,0)</f>
        <v>0.7083333333333334</v>
      </c>
      <c r="C63" s="3" t="str">
        <f>Y49</f>
        <v>Primero del Grupo G</v>
      </c>
      <c r="D63" s="20"/>
      <c r="E63" s="20"/>
      <c r="F63" s="4" t="str">
        <f>Y57</f>
        <v>Segundo del Grupo H</v>
      </c>
      <c r="AI63" s="37" t="str">
        <f>IF(AJ63="",INDEX(T,69,language),AJ63)</f>
        <v>Ganador partido 1G vs 2H</v>
      </c>
      <c r="AJ63" s="37">
        <f t="shared" si="20"/>
      </c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</row>
    <row r="64" spans="1:102" ht="13.5" customHeight="1" thickBot="1">
      <c r="A64" s="24" t="str">
        <f>CONCATENATE(27+IF(GMT&gt;7,1,0)," ",INDEX(T,80,language))</f>
        <v>27 Jun</v>
      </c>
      <c r="B64" s="18">
        <f>TIME(16+GMT,0,0)</f>
        <v>0.5416666666666666</v>
      </c>
      <c r="C64" s="3" t="str">
        <f>Y42</f>
        <v>Primero del Grupo F</v>
      </c>
      <c r="D64" s="20"/>
      <c r="E64" s="20"/>
      <c r="F64" s="4" t="str">
        <f>Y36</f>
        <v>Segundo del Grupo E</v>
      </c>
      <c r="AI64" s="37" t="str">
        <f>IF(AJ64="",INDEX(T,70,language),AJ64)</f>
        <v>Ganador partido 1F vs 2E</v>
      </c>
      <c r="AJ64" s="37">
        <f t="shared" si="20"/>
      </c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</row>
    <row r="65" spans="1:102" ht="13.5" customHeight="1" thickBot="1">
      <c r="A65" s="24" t="str">
        <f>CONCATENATE(27+IF(GMT&gt;3,1,0)," ",INDEX(T,80,language))</f>
        <v>27 Jun</v>
      </c>
      <c r="B65" s="18">
        <f>TIME(20+GMT,0,0)</f>
        <v>0.7083333333333334</v>
      </c>
      <c r="C65" s="3" t="str">
        <f>Y56</f>
        <v>Primero del Grupo H</v>
      </c>
      <c r="D65" s="20"/>
      <c r="E65" s="20"/>
      <c r="F65" s="4" t="str">
        <f>Y50</f>
        <v>Segundo del Grupo G</v>
      </c>
      <c r="AI65" s="37" t="str">
        <f>IF(AJ65="",INDEX(T,71,language),AJ65)</f>
        <v>Ganador partido 1H vs 2G</v>
      </c>
      <c r="AJ65" s="37">
        <f t="shared" si="20"/>
      </c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</row>
    <row r="66" spans="81:102" ht="13.5" customHeight="1" thickBot="1"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</row>
    <row r="67" spans="1:102" ht="13.5" customHeight="1">
      <c r="A67" s="46" t="str">
        <f>INDEX(T,43,language)</f>
        <v>Cuartos de Final</v>
      </c>
      <c r="B67" s="47"/>
      <c r="C67" s="47"/>
      <c r="D67" s="47"/>
      <c r="E67" s="47"/>
      <c r="F67" s="48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</row>
    <row r="68" spans="1:102" ht="13.5" customHeight="1" thickBot="1">
      <c r="A68" s="49"/>
      <c r="B68" s="50"/>
      <c r="C68" s="50"/>
      <c r="D68" s="50"/>
      <c r="E68" s="50"/>
      <c r="F68" s="5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</row>
    <row r="69" spans="1:102" ht="13.5" customHeight="1" thickBot="1">
      <c r="A69" s="24" t="str">
        <f>CONCATENATE(IF(GMT&gt;7,1,30)," ",IF(GMT&gt;3,INDEX(T,81,language),INDEX(T,80,language)))</f>
        <v>30 Jun</v>
      </c>
      <c r="B69" s="18">
        <f>TIME(16+GMT,0,0)</f>
        <v>0.5416666666666666</v>
      </c>
      <c r="C69" s="3" t="str">
        <f>AI58</f>
        <v>Ganador partido 1A vs 2B</v>
      </c>
      <c r="D69" s="20"/>
      <c r="E69" s="20"/>
      <c r="F69" s="4" t="str">
        <f>AI59</f>
        <v>Ganador partido 1C vs 2D</v>
      </c>
      <c r="AI69" s="37" t="str">
        <f>IF(AJ69="",INDEX(T,72,language),AJ69)</f>
        <v>Primer semifinalista</v>
      </c>
      <c r="AJ69" s="37">
        <f>IF(D69="","",IF(E69="","",IF(D69&gt;E69,C69,IF(D69&lt;E69,F69,""))))</f>
      </c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</row>
    <row r="70" spans="1:102" ht="13.5" customHeight="1" thickBot="1">
      <c r="A70" s="24" t="str">
        <f>CONCATENATE(IF(GMT&gt;3,1,30)," ",IF(GMT&gt;3,INDEX(T,81,language),INDEX(T,80,language)))</f>
        <v>30 Jun</v>
      </c>
      <c r="B70" s="18">
        <f>TIME(20+GMT,0,0)</f>
        <v>0.7083333333333334</v>
      </c>
      <c r="C70" s="3" t="str">
        <f>AI62</f>
        <v>Ganador partido 1E vs 2F</v>
      </c>
      <c r="D70" s="20"/>
      <c r="E70" s="20"/>
      <c r="F70" s="4" t="str">
        <f>AI63</f>
        <v>Ganador partido 1G vs 2H</v>
      </c>
      <c r="AI70" s="37" t="str">
        <f>IF(AJ70="",INDEX(T,73,language),AJ70)</f>
        <v>Segundo semifinalista</v>
      </c>
      <c r="AJ70" s="37">
        <f>IF(D70="","",IF(E70="","",IF(D70&gt;E70,C70,IF(D70&lt;E70,F70,""))))</f>
      </c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</row>
    <row r="71" spans="1:102" ht="13.5" customHeight="1" thickBot="1">
      <c r="A71" s="24" t="str">
        <f>CONCATENATE(1+IF(GMT&gt;7,1,0)," ",INDEX(T,81,language))</f>
        <v>1 Jul</v>
      </c>
      <c r="B71" s="18">
        <f>TIME(16+GMT,0,0)</f>
        <v>0.5416666666666666</v>
      </c>
      <c r="C71" s="3" t="str">
        <f>AI60</f>
        <v>Ganador partido 1B vs 2A</v>
      </c>
      <c r="D71" s="20"/>
      <c r="E71" s="20"/>
      <c r="F71" s="4" t="str">
        <f>AI61</f>
        <v>Ganador partido 1D vs 2C</v>
      </c>
      <c r="AI71" s="37" t="str">
        <f>IF(AJ71="",INDEX(T,74,language),AJ71)</f>
        <v>Tercer semifinalista</v>
      </c>
      <c r="AJ71" s="37">
        <f>IF(D71="","",IF(E71="","",IF(D71&gt;E71,C71,IF(D71&lt;E71,F71,""))))</f>
      </c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</row>
    <row r="72" spans="1:102" ht="13.5" customHeight="1" thickBot="1">
      <c r="A72" s="24" t="str">
        <f>CONCATENATE(1+IF(GMT&gt;3,1,0)," ",INDEX(T,81,language))</f>
        <v>1 Jul</v>
      </c>
      <c r="B72" s="18">
        <f>TIME(20+GMT,0,0)</f>
        <v>0.7083333333333334</v>
      </c>
      <c r="C72" s="3" t="str">
        <f>AI64</f>
        <v>Ganador partido 1F vs 2E</v>
      </c>
      <c r="D72" s="20"/>
      <c r="E72" s="20"/>
      <c r="F72" s="4" t="str">
        <f>AI65</f>
        <v>Ganador partido 1H vs 2G</v>
      </c>
      <c r="AI72" s="37" t="str">
        <f>IF(AJ72="",INDEX(T,75,language),AJ72)</f>
        <v>Cuarto semifinalista</v>
      </c>
      <c r="AJ72" s="37">
        <f>IF(D72="","",IF(E72="","",IF(D72&gt;E72,C72,IF(D72&lt;E72,F72,""))))</f>
      </c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</row>
    <row r="73" spans="81:102" ht="13.5" customHeight="1" thickBot="1"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</row>
    <row r="74" spans="1:102" ht="13.5" customHeight="1">
      <c r="A74" s="46" t="str">
        <f>INDEX(T,44,language)</f>
        <v>Semifinales</v>
      </c>
      <c r="B74" s="47"/>
      <c r="C74" s="47"/>
      <c r="D74" s="47"/>
      <c r="E74" s="47"/>
      <c r="F74" s="48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</row>
    <row r="75" spans="1:102" ht="13.5" customHeight="1" thickBot="1">
      <c r="A75" s="49"/>
      <c r="B75" s="50"/>
      <c r="C75" s="50"/>
      <c r="D75" s="50"/>
      <c r="E75" s="50"/>
      <c r="F75" s="5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</row>
    <row r="76" spans="1:102" ht="13.5" customHeight="1" thickBot="1">
      <c r="A76" s="24" t="str">
        <f>CONCATENATE(4+IF(GMT&gt;3,1,0)," ",INDEX(T,81,language))</f>
        <v>4 Jul</v>
      </c>
      <c r="B76" s="18">
        <f>TIME(20+GMT,0,0)</f>
        <v>0.7083333333333334</v>
      </c>
      <c r="C76" s="3" t="str">
        <f>AI69</f>
        <v>Primer semifinalista</v>
      </c>
      <c r="D76" s="20"/>
      <c r="E76" s="20"/>
      <c r="F76" s="4" t="str">
        <f>AI70</f>
        <v>Segundo semifinalista</v>
      </c>
      <c r="AI76" s="37" t="str">
        <f>IF(AJ76="",INDEX(T,76,language),AJ76)</f>
        <v>Finalista</v>
      </c>
      <c r="AJ76" s="37">
        <f>IF(D76="","",IF(E76="","",IF(D76&gt;E76,C76,IF(D76&lt;E76,F76,""))))</f>
      </c>
      <c r="AK76" s="37" t="str">
        <f>IF(AL76="",INDEX(T,78,language),AL76)</f>
        <v>Perdedor semifinal</v>
      </c>
      <c r="AL76" s="37">
        <f>IF(D76="","",IF(E76="","",IF(D76&gt;E76,F76,IF(D76&lt;E76,C76,""))))</f>
      </c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</row>
    <row r="77" spans="1:102" ht="13.5" customHeight="1" thickBot="1">
      <c r="A77" s="24" t="str">
        <f>CONCATENATE(5+IF(GMT&gt;3,1,0)," ",INDEX(T,81,language))</f>
        <v>5 Jul</v>
      </c>
      <c r="B77" s="18">
        <f>TIME(20+GMT,0,0)</f>
        <v>0.7083333333333334</v>
      </c>
      <c r="C77" s="3" t="str">
        <f>AI71</f>
        <v>Tercer semifinalista</v>
      </c>
      <c r="D77" s="20"/>
      <c r="E77" s="20"/>
      <c r="F77" s="4" t="str">
        <f>AI72</f>
        <v>Cuarto semifinalista</v>
      </c>
      <c r="AI77" s="37" t="str">
        <f>IF(AJ77="",INDEX(T,77,language),AJ77)</f>
        <v>Finalista</v>
      </c>
      <c r="AJ77" s="37">
        <f>IF(D77="","",IF(E77="","",IF(D77&gt;E77,C77,IF(D77&lt;E77,F77,""))))</f>
      </c>
      <c r="AK77" s="37" t="str">
        <f>IF(AL77="",INDEX(T,79,language),AL77)</f>
        <v>Perdedor semifinal</v>
      </c>
      <c r="AL77" s="37">
        <f>IF(D77="","",IF(E77="","",IF(D77&gt;E77,F77,IF(D77&lt;E77,C77,""))))</f>
      </c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</row>
    <row r="78" spans="81:102" ht="13.5" customHeight="1" thickBot="1"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</row>
    <row r="79" spans="1:102" ht="13.5" customHeight="1">
      <c r="A79" s="46" t="str">
        <f>INDEX(T,45,language)</f>
        <v>Tercer puesto</v>
      </c>
      <c r="B79" s="47"/>
      <c r="C79" s="47"/>
      <c r="D79" s="47"/>
      <c r="E79" s="47"/>
      <c r="F79" s="48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</row>
    <row r="80" spans="1:102" ht="13.5" customHeight="1" thickBot="1">
      <c r="A80" s="49"/>
      <c r="B80" s="50"/>
      <c r="C80" s="50"/>
      <c r="D80" s="50"/>
      <c r="E80" s="50"/>
      <c r="F80" s="5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</row>
    <row r="81" spans="1:102" ht="13.5" customHeight="1" thickBot="1">
      <c r="A81" s="24" t="str">
        <f>CONCATENATE(8+IF(GMT&gt;3,1,0)," ",INDEX(T,81,language))</f>
        <v>8 Jul</v>
      </c>
      <c r="B81" s="18">
        <f>TIME(20+GMT,0,0)</f>
        <v>0.7083333333333334</v>
      </c>
      <c r="C81" s="3" t="str">
        <f>AK76</f>
        <v>Perdedor semifinal</v>
      </c>
      <c r="D81" s="20"/>
      <c r="E81" s="20"/>
      <c r="F81" s="4" t="str">
        <f>AK77</f>
        <v>Perdedor semifinal</v>
      </c>
      <c r="AI81" s="37" t="str">
        <f>IF(AJ81="","Third Place",AJ81)</f>
        <v>Third Place</v>
      </c>
      <c r="AJ81" s="37">
        <f>IF(D81="","",IF(E81="","",IF(D81&gt;E81,C81,IF(D81&lt;E81,F81,""))))</f>
      </c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</row>
    <row r="82" spans="81:102" ht="13.5" customHeight="1" thickBot="1"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</row>
    <row r="83" spans="1:102" ht="13.5" customHeight="1">
      <c r="A83" s="46" t="str">
        <f>INDEX(T,46,language)</f>
        <v>Final</v>
      </c>
      <c r="B83" s="47"/>
      <c r="C83" s="47"/>
      <c r="D83" s="47"/>
      <c r="E83" s="47"/>
      <c r="F83" s="48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</row>
    <row r="84" spans="1:102" ht="13.5" customHeight="1" thickBot="1">
      <c r="A84" s="49"/>
      <c r="B84" s="50"/>
      <c r="C84" s="50"/>
      <c r="D84" s="50"/>
      <c r="E84" s="50"/>
      <c r="F84" s="5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</row>
    <row r="85" spans="1:102" ht="13.5" customHeight="1" thickBot="1">
      <c r="A85" s="24" t="str">
        <f>CONCATENATE(9+IF(GMT&gt;4,1,0)," ",INDEX(T,81,language))</f>
        <v>9 Jul</v>
      </c>
      <c r="B85" s="18">
        <f>TIME(19+GMT,0,0)</f>
        <v>0.6666666666666666</v>
      </c>
      <c r="C85" s="3" t="str">
        <f>AI76</f>
        <v>Finalista</v>
      </c>
      <c r="D85" s="20"/>
      <c r="E85" s="20"/>
      <c r="F85" s="4" t="str">
        <f>AI77</f>
        <v>Finalista</v>
      </c>
      <c r="AI85" s="37">
        <f>IF(AJ85="","",AJ85)</f>
      </c>
      <c r="AJ85" s="37">
        <f>IF(D85="","",IF(E85="","",IF(D85&gt;E85,C85,IF(D85&lt;E85,F85,""))))</f>
      </c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</row>
    <row r="86" spans="1:102" ht="13.5" thickBot="1">
      <c r="A86" s="25"/>
      <c r="B86" s="19"/>
      <c r="C86" s="10"/>
      <c r="D86" s="12"/>
      <c r="E86" s="12"/>
      <c r="F86" s="6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</row>
    <row r="87" spans="1:102" ht="21" customHeight="1" thickTop="1">
      <c r="A87" s="62" t="str">
        <f>INDEX(T,47,language)</f>
        <v>Campeón 2006</v>
      </c>
      <c r="B87" s="62"/>
      <c r="C87" s="62"/>
      <c r="D87" s="63">
        <f>AI85</f>
      </c>
      <c r="E87" s="63"/>
      <c r="F87" s="63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</row>
    <row r="88" spans="81:102" ht="12.75"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</row>
    <row r="89" spans="81:102" ht="12.75"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</row>
    <row r="90" spans="81:102" ht="12.75"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</row>
  </sheetData>
  <sheetProtection password="9B60" sheet="1" objects="1" scenarios="1"/>
  <mergeCells count="58">
    <mergeCell ref="A74:F75"/>
    <mergeCell ref="A79:F80"/>
    <mergeCell ref="A83:F84"/>
    <mergeCell ref="A87:C87"/>
    <mergeCell ref="D87:F87"/>
    <mergeCell ref="A67:F68"/>
    <mergeCell ref="H54:H55"/>
    <mergeCell ref="I54:I55"/>
    <mergeCell ref="J54:J55"/>
    <mergeCell ref="K40:K41"/>
    <mergeCell ref="L54:L55"/>
    <mergeCell ref="M54:M55"/>
    <mergeCell ref="A56:F57"/>
    <mergeCell ref="K54:K55"/>
    <mergeCell ref="M33:M34"/>
    <mergeCell ref="L47:L48"/>
    <mergeCell ref="M47:M48"/>
    <mergeCell ref="H40:H41"/>
    <mergeCell ref="I40:I41"/>
    <mergeCell ref="H47:H48"/>
    <mergeCell ref="I47:I48"/>
    <mergeCell ref="J47:J48"/>
    <mergeCell ref="K47:K48"/>
    <mergeCell ref="J40:J41"/>
    <mergeCell ref="K26:K27"/>
    <mergeCell ref="L40:L41"/>
    <mergeCell ref="M40:M41"/>
    <mergeCell ref="H33:H34"/>
    <mergeCell ref="I33:I34"/>
    <mergeCell ref="J33:J34"/>
    <mergeCell ref="K33:K34"/>
    <mergeCell ref="L26:L27"/>
    <mergeCell ref="M26:M27"/>
    <mergeCell ref="L33:L34"/>
    <mergeCell ref="I19:I20"/>
    <mergeCell ref="H26:H27"/>
    <mergeCell ref="I26:I27"/>
    <mergeCell ref="J26:J27"/>
    <mergeCell ref="M5:M6"/>
    <mergeCell ref="L19:L20"/>
    <mergeCell ref="M19:M20"/>
    <mergeCell ref="H12:H13"/>
    <mergeCell ref="I12:I13"/>
    <mergeCell ref="J12:J13"/>
    <mergeCell ref="K12:K13"/>
    <mergeCell ref="L12:L13"/>
    <mergeCell ref="M12:M13"/>
    <mergeCell ref="H19:H20"/>
    <mergeCell ref="A1:M1"/>
    <mergeCell ref="D3:J3"/>
    <mergeCell ref="J19:J20"/>
    <mergeCell ref="K19:K20"/>
    <mergeCell ref="A5:F6"/>
    <mergeCell ref="H5:H6"/>
    <mergeCell ref="I5:I6"/>
    <mergeCell ref="J5:J6"/>
    <mergeCell ref="K5:K6"/>
    <mergeCell ref="L5:L6"/>
  </mergeCells>
  <conditionalFormatting sqref="H50:M50 H8:M8 H15:M15 H22:M22 H29:M29 H36:M36 H43:M43 H57:M57">
    <cfRule type="expression" priority="1" dxfId="0" stopIfTrue="1">
      <formula>IF($H8=$Y8,1,0)</formula>
    </cfRule>
  </conditionalFormatting>
  <conditionalFormatting sqref="H7:M7 H14:M14 H21:M21 H28:M28 H35:M35 H42:M42 H49:M49 H56:M56">
    <cfRule type="expression" priority="2" dxfId="1" stopIfTrue="1">
      <formula>IF($H7=$Y7,1,0)</formula>
    </cfRule>
  </conditionalFormatting>
  <conditionalFormatting sqref="C7:C54">
    <cfRule type="expression" priority="3" dxfId="2" stopIfTrue="1">
      <formula>IF($AQ7=CONCATENATE($C7,"_win"),1,0)</formula>
    </cfRule>
  </conditionalFormatting>
  <conditionalFormatting sqref="F7:F54">
    <cfRule type="expression" priority="4" dxfId="3" stopIfTrue="1">
      <formula>IF($AR7=CONCATENATE($F7,"_win"),1,0)</formula>
    </cfRule>
  </conditionalFormatting>
  <conditionalFormatting sqref="C58:C65 C69:C72 C76:C77 C81 F58:F65 F69:F72 F76:F77 F81">
    <cfRule type="cellIs" priority="5" dxfId="3" operator="equal" stopIfTrue="1">
      <formula>$AI58</formula>
    </cfRule>
  </conditionalFormatting>
  <conditionalFormatting sqref="D87:F87">
    <cfRule type="cellIs" priority="6" dxfId="4" operator="notEqual" stopIfTrue="1">
      <formula>"Final Winner"</formula>
    </cfRule>
  </conditionalFormatting>
  <conditionalFormatting sqref="C85 F85">
    <cfRule type="cellIs" priority="7" dxfId="3" operator="equal" stopIfTrue="1">
      <formula>$AI$85</formula>
    </cfRule>
  </conditionalFormatting>
  <hyperlinks>
    <hyperlink ref="D3:J3" r:id="rId1" tooltip="http://www.excely.com/" display="Project by Excely.com. We can cut your"/>
  </hyperlink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69" r:id="rId4"/>
  <headerFooter alignWithMargins="0">
    <oddFooter>&amp;CExcely.com (c) 2006</oddFooter>
  </headerFooter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83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"/>
  <cols>
    <col min="1" max="6" width="19.421875" style="0" customWidth="1"/>
    <col min="7" max="16384" width="18.421875" style="0" customWidth="1"/>
  </cols>
  <sheetData>
    <row r="1" spans="1:8" s="30" customFormat="1" ht="11.25">
      <c r="A1" s="30" t="s">
        <v>76</v>
      </c>
      <c r="B1" s="30" t="s">
        <v>77</v>
      </c>
      <c r="C1" s="30" t="s">
        <v>181</v>
      </c>
      <c r="D1" s="30" t="s">
        <v>182</v>
      </c>
      <c r="E1" s="30" t="s">
        <v>183</v>
      </c>
      <c r="F1" s="30" t="s">
        <v>184</v>
      </c>
      <c r="G1" s="30" t="s">
        <v>446</v>
      </c>
      <c r="H1" s="30" t="s">
        <v>515</v>
      </c>
    </row>
    <row r="2" spans="1:8" ht="11.25">
      <c r="A2" t="s">
        <v>0</v>
      </c>
      <c r="B2" t="s">
        <v>78</v>
      </c>
      <c r="C2" t="s">
        <v>185</v>
      </c>
      <c r="D2" t="s">
        <v>255</v>
      </c>
      <c r="E2" t="s">
        <v>318</v>
      </c>
      <c r="F2" t="s">
        <v>379</v>
      </c>
      <c r="G2" t="s">
        <v>447</v>
      </c>
      <c r="H2" t="s">
        <v>516</v>
      </c>
    </row>
    <row r="3" spans="1:8" ht="11.25">
      <c r="A3" t="s">
        <v>12</v>
      </c>
      <c r="B3" t="s">
        <v>79</v>
      </c>
      <c r="C3" t="s">
        <v>186</v>
      </c>
      <c r="D3" t="s">
        <v>256</v>
      </c>
      <c r="E3" t="s">
        <v>319</v>
      </c>
      <c r="F3" t="s">
        <v>380</v>
      </c>
      <c r="G3" t="s">
        <v>448</v>
      </c>
      <c r="H3" t="s">
        <v>517</v>
      </c>
    </row>
    <row r="4" spans="1:8" ht="11.25">
      <c r="A4" t="s">
        <v>20</v>
      </c>
      <c r="B4" t="s">
        <v>20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518</v>
      </c>
    </row>
    <row r="5" spans="1:8" ht="11.25">
      <c r="A5" t="s">
        <v>21</v>
      </c>
      <c r="B5" t="s">
        <v>80</v>
      </c>
      <c r="C5" t="s">
        <v>187</v>
      </c>
      <c r="D5" t="s">
        <v>257</v>
      </c>
      <c r="E5" t="s">
        <v>257</v>
      </c>
      <c r="F5" t="s">
        <v>381</v>
      </c>
      <c r="G5" t="s">
        <v>80</v>
      </c>
      <c r="H5" t="s">
        <v>519</v>
      </c>
    </row>
    <row r="6" spans="1:8" ht="11.25">
      <c r="A6" t="s">
        <v>22</v>
      </c>
      <c r="B6" t="s">
        <v>22</v>
      </c>
      <c r="C6" t="s">
        <v>188</v>
      </c>
      <c r="D6" t="s">
        <v>22</v>
      </c>
      <c r="E6" t="s">
        <v>22</v>
      </c>
      <c r="F6" t="s">
        <v>382</v>
      </c>
      <c r="G6" t="s">
        <v>22</v>
      </c>
      <c r="H6" t="s">
        <v>520</v>
      </c>
    </row>
    <row r="7" spans="1:8" ht="11.25">
      <c r="A7" t="s">
        <v>23</v>
      </c>
      <c r="B7" t="s">
        <v>23</v>
      </c>
      <c r="C7" t="s">
        <v>189</v>
      </c>
      <c r="D7" t="s">
        <v>258</v>
      </c>
      <c r="E7" t="s">
        <v>320</v>
      </c>
      <c r="F7" t="s">
        <v>258</v>
      </c>
      <c r="G7" t="s">
        <v>449</v>
      </c>
      <c r="H7" t="s">
        <v>521</v>
      </c>
    </row>
    <row r="8" spans="1:8" ht="11.25">
      <c r="A8" t="s">
        <v>24</v>
      </c>
      <c r="B8" t="s">
        <v>24</v>
      </c>
      <c r="C8" t="s">
        <v>24</v>
      </c>
      <c r="D8" t="s">
        <v>24</v>
      </c>
      <c r="E8" t="s">
        <v>24</v>
      </c>
      <c r="F8" t="s">
        <v>383</v>
      </c>
      <c r="G8" t="s">
        <v>24</v>
      </c>
      <c r="H8" t="s">
        <v>522</v>
      </c>
    </row>
    <row r="9" spans="1:8" ht="11.25">
      <c r="A9" t="s">
        <v>25</v>
      </c>
      <c r="B9" t="s">
        <v>81</v>
      </c>
      <c r="C9" t="s">
        <v>190</v>
      </c>
      <c r="D9" t="s">
        <v>259</v>
      </c>
      <c r="E9" t="s">
        <v>321</v>
      </c>
      <c r="F9" t="s">
        <v>384</v>
      </c>
      <c r="G9" t="s">
        <v>25</v>
      </c>
      <c r="H9" t="s">
        <v>523</v>
      </c>
    </row>
    <row r="10" spans="1:8" ht="11.25">
      <c r="A10" t="s">
        <v>26</v>
      </c>
      <c r="B10" t="s">
        <v>82</v>
      </c>
      <c r="C10" t="s">
        <v>191</v>
      </c>
      <c r="D10" t="s">
        <v>260</v>
      </c>
      <c r="E10" t="s">
        <v>322</v>
      </c>
      <c r="F10" t="s">
        <v>385</v>
      </c>
      <c r="G10" t="s">
        <v>450</v>
      </c>
      <c r="H10" t="s">
        <v>524</v>
      </c>
    </row>
    <row r="11" spans="1:8" ht="11.25">
      <c r="A11" t="s">
        <v>27</v>
      </c>
      <c r="B11" t="s">
        <v>83</v>
      </c>
      <c r="C11" t="s">
        <v>192</v>
      </c>
      <c r="D11" t="s">
        <v>27</v>
      </c>
      <c r="E11" t="s">
        <v>27</v>
      </c>
      <c r="F11" t="s">
        <v>27</v>
      </c>
      <c r="G11" t="s">
        <v>451</v>
      </c>
      <c r="H11" t="s">
        <v>525</v>
      </c>
    </row>
    <row r="12" spans="1:8" ht="11.25">
      <c r="A12" t="s">
        <v>28</v>
      </c>
      <c r="B12" t="s">
        <v>84</v>
      </c>
      <c r="C12" t="s">
        <v>193</v>
      </c>
      <c r="D12" t="s">
        <v>261</v>
      </c>
      <c r="E12" t="s">
        <v>323</v>
      </c>
      <c r="F12" t="s">
        <v>386</v>
      </c>
      <c r="G12" t="s">
        <v>452</v>
      </c>
      <c r="H12" t="s">
        <v>526</v>
      </c>
    </row>
    <row r="13" spans="1:8" ht="11.25">
      <c r="A13" t="s">
        <v>29</v>
      </c>
      <c r="B13" t="s">
        <v>85</v>
      </c>
      <c r="C13" t="s">
        <v>194</v>
      </c>
      <c r="D13" t="s">
        <v>262</v>
      </c>
      <c r="E13" t="s">
        <v>324</v>
      </c>
      <c r="F13" t="s">
        <v>387</v>
      </c>
      <c r="G13" t="s">
        <v>453</v>
      </c>
      <c r="H13" t="s">
        <v>527</v>
      </c>
    </row>
    <row r="14" spans="1:8" ht="11.25">
      <c r="A14" t="s">
        <v>30</v>
      </c>
      <c r="B14" t="s">
        <v>86</v>
      </c>
      <c r="C14" t="s">
        <v>195</v>
      </c>
      <c r="D14" t="s">
        <v>263</v>
      </c>
      <c r="E14" t="s">
        <v>325</v>
      </c>
      <c r="F14" t="s">
        <v>263</v>
      </c>
      <c r="G14" t="s">
        <v>454</v>
      </c>
      <c r="H14" t="s">
        <v>528</v>
      </c>
    </row>
    <row r="15" spans="1:8" ht="11.25">
      <c r="A15" t="s">
        <v>31</v>
      </c>
      <c r="B15" t="s">
        <v>87</v>
      </c>
      <c r="C15" t="s">
        <v>196</v>
      </c>
      <c r="D15" t="s">
        <v>264</v>
      </c>
      <c r="E15" t="s">
        <v>326</v>
      </c>
      <c r="F15" t="s">
        <v>264</v>
      </c>
      <c r="G15" t="s">
        <v>31</v>
      </c>
      <c r="H15" t="s">
        <v>529</v>
      </c>
    </row>
    <row r="16" spans="1:8" ht="11.25">
      <c r="A16" t="s">
        <v>32</v>
      </c>
      <c r="B16" t="s">
        <v>32</v>
      </c>
      <c r="C16" t="s">
        <v>32</v>
      </c>
      <c r="D16" t="s">
        <v>265</v>
      </c>
      <c r="E16" t="s">
        <v>32</v>
      </c>
      <c r="F16" t="s">
        <v>388</v>
      </c>
      <c r="G16" t="s">
        <v>32</v>
      </c>
      <c r="H16" t="s">
        <v>32</v>
      </c>
    </row>
    <row r="17" spans="1:8" ht="11.25">
      <c r="A17" t="s">
        <v>33</v>
      </c>
      <c r="B17" t="s">
        <v>33</v>
      </c>
      <c r="C17" t="s">
        <v>33</v>
      </c>
      <c r="D17" t="s">
        <v>33</v>
      </c>
      <c r="E17" t="s">
        <v>33</v>
      </c>
      <c r="F17" t="s">
        <v>33</v>
      </c>
      <c r="G17" t="s">
        <v>33</v>
      </c>
      <c r="H17" t="s">
        <v>33</v>
      </c>
    </row>
    <row r="18" spans="1:8" ht="11.25">
      <c r="A18" t="s">
        <v>34</v>
      </c>
      <c r="B18" t="s">
        <v>34</v>
      </c>
      <c r="C18" t="s">
        <v>34</v>
      </c>
      <c r="D18" t="s">
        <v>34</v>
      </c>
      <c r="E18" t="s">
        <v>327</v>
      </c>
      <c r="F18" t="s">
        <v>34</v>
      </c>
      <c r="G18" t="s">
        <v>34</v>
      </c>
      <c r="H18" t="s">
        <v>530</v>
      </c>
    </row>
    <row r="19" spans="1:8" ht="11.25">
      <c r="A19" t="s">
        <v>35</v>
      </c>
      <c r="B19" t="s">
        <v>88</v>
      </c>
      <c r="C19" t="s">
        <v>197</v>
      </c>
      <c r="D19" t="s">
        <v>266</v>
      </c>
      <c r="E19" t="s">
        <v>266</v>
      </c>
      <c r="F19" t="s">
        <v>389</v>
      </c>
      <c r="G19" t="s">
        <v>455</v>
      </c>
      <c r="H19" t="s">
        <v>531</v>
      </c>
    </row>
    <row r="20" spans="1:8" ht="11.25">
      <c r="A20" t="s">
        <v>36</v>
      </c>
      <c r="B20" t="s">
        <v>36</v>
      </c>
      <c r="C20" t="s">
        <v>36</v>
      </c>
      <c r="D20" t="s">
        <v>36</v>
      </c>
      <c r="E20" t="s">
        <v>36</v>
      </c>
      <c r="F20" t="s">
        <v>390</v>
      </c>
      <c r="G20" t="s">
        <v>36</v>
      </c>
      <c r="H20" t="s">
        <v>36</v>
      </c>
    </row>
    <row r="21" spans="1:8" ht="11.25">
      <c r="A21" t="s">
        <v>37</v>
      </c>
      <c r="B21" t="s">
        <v>37</v>
      </c>
      <c r="C21" t="s">
        <v>198</v>
      </c>
      <c r="D21" t="s">
        <v>267</v>
      </c>
      <c r="E21" t="s">
        <v>37</v>
      </c>
      <c r="F21" t="s">
        <v>391</v>
      </c>
      <c r="G21" t="s">
        <v>456</v>
      </c>
      <c r="H21" t="s">
        <v>37</v>
      </c>
    </row>
    <row r="22" spans="1:8" ht="11.25">
      <c r="A22" t="s">
        <v>38</v>
      </c>
      <c r="B22" t="s">
        <v>89</v>
      </c>
      <c r="C22" t="s">
        <v>199</v>
      </c>
      <c r="D22" t="s">
        <v>268</v>
      </c>
      <c r="E22" t="s">
        <v>328</v>
      </c>
      <c r="F22" t="s">
        <v>392</v>
      </c>
      <c r="G22" t="s">
        <v>457</v>
      </c>
      <c r="H22" t="s">
        <v>532</v>
      </c>
    </row>
    <row r="23" spans="1:8" ht="11.25">
      <c r="A23" t="s">
        <v>39</v>
      </c>
      <c r="B23" t="s">
        <v>90</v>
      </c>
      <c r="C23" t="s">
        <v>200</v>
      </c>
      <c r="D23" t="s">
        <v>269</v>
      </c>
      <c r="E23" t="s">
        <v>329</v>
      </c>
      <c r="F23" t="s">
        <v>269</v>
      </c>
      <c r="G23" t="s">
        <v>458</v>
      </c>
      <c r="H23" t="s">
        <v>533</v>
      </c>
    </row>
    <row r="24" spans="1:8" ht="11.25">
      <c r="A24" t="s">
        <v>40</v>
      </c>
      <c r="B24" t="s">
        <v>91</v>
      </c>
      <c r="C24" t="s">
        <v>201</v>
      </c>
      <c r="D24" t="s">
        <v>270</v>
      </c>
      <c r="E24" t="s">
        <v>330</v>
      </c>
      <c r="F24" t="s">
        <v>393</v>
      </c>
      <c r="G24" t="s">
        <v>459</v>
      </c>
      <c r="H24" t="s">
        <v>534</v>
      </c>
    </row>
    <row r="25" spans="1:8" ht="11.25">
      <c r="A25" t="s">
        <v>41</v>
      </c>
      <c r="B25" t="s">
        <v>92</v>
      </c>
      <c r="C25" t="s">
        <v>202</v>
      </c>
      <c r="D25" t="s">
        <v>41</v>
      </c>
      <c r="E25" t="s">
        <v>41</v>
      </c>
      <c r="F25" t="s">
        <v>394</v>
      </c>
      <c r="G25" t="s">
        <v>460</v>
      </c>
      <c r="H25" t="s">
        <v>41</v>
      </c>
    </row>
    <row r="26" spans="1:8" ht="11.25">
      <c r="A26" t="s">
        <v>42</v>
      </c>
      <c r="B26" t="s">
        <v>42</v>
      </c>
      <c r="C26" t="s">
        <v>203</v>
      </c>
      <c r="D26" t="s">
        <v>271</v>
      </c>
      <c r="E26" t="s">
        <v>331</v>
      </c>
      <c r="F26" t="s">
        <v>395</v>
      </c>
      <c r="G26" t="s">
        <v>42</v>
      </c>
      <c r="H26" t="s">
        <v>535</v>
      </c>
    </row>
    <row r="27" spans="1:8" ht="11.25">
      <c r="A27" t="s">
        <v>43</v>
      </c>
      <c r="B27" t="s">
        <v>93</v>
      </c>
      <c r="C27" t="s">
        <v>43</v>
      </c>
      <c r="D27" t="s">
        <v>272</v>
      </c>
      <c r="E27" t="s">
        <v>272</v>
      </c>
      <c r="F27" t="s">
        <v>396</v>
      </c>
      <c r="G27" t="s">
        <v>461</v>
      </c>
      <c r="H27" t="s">
        <v>536</v>
      </c>
    </row>
    <row r="28" spans="1:8" ht="11.25">
      <c r="A28" t="s">
        <v>44</v>
      </c>
      <c r="B28" t="s">
        <v>94</v>
      </c>
      <c r="C28" t="s">
        <v>204</v>
      </c>
      <c r="D28" t="s">
        <v>273</v>
      </c>
      <c r="E28" t="s">
        <v>332</v>
      </c>
      <c r="F28" t="s">
        <v>397</v>
      </c>
      <c r="G28" t="s">
        <v>462</v>
      </c>
      <c r="H28" t="s">
        <v>537</v>
      </c>
    </row>
    <row r="29" spans="1:8" ht="11.25">
      <c r="A29" t="s">
        <v>45</v>
      </c>
      <c r="B29" t="s">
        <v>95</v>
      </c>
      <c r="C29" t="s">
        <v>205</v>
      </c>
      <c r="D29" t="s">
        <v>274</v>
      </c>
      <c r="E29" t="s">
        <v>333</v>
      </c>
      <c r="F29" t="s">
        <v>398</v>
      </c>
      <c r="G29" t="s">
        <v>463</v>
      </c>
      <c r="H29" t="s">
        <v>538</v>
      </c>
    </row>
    <row r="30" spans="1:8" ht="11.25">
      <c r="A30" t="s">
        <v>46</v>
      </c>
      <c r="B30" t="s">
        <v>46</v>
      </c>
      <c r="C30" t="s">
        <v>46</v>
      </c>
      <c r="D30" t="s">
        <v>46</v>
      </c>
      <c r="E30" t="s">
        <v>46</v>
      </c>
      <c r="F30" t="s">
        <v>46</v>
      </c>
      <c r="G30" t="s">
        <v>46</v>
      </c>
      <c r="H30" t="s">
        <v>46</v>
      </c>
    </row>
    <row r="31" spans="1:8" ht="11.25">
      <c r="A31" t="s">
        <v>47</v>
      </c>
      <c r="B31" t="s">
        <v>96</v>
      </c>
      <c r="C31" t="s">
        <v>206</v>
      </c>
      <c r="D31" t="s">
        <v>275</v>
      </c>
      <c r="E31" t="s">
        <v>334</v>
      </c>
      <c r="F31" t="s">
        <v>399</v>
      </c>
      <c r="G31" t="s">
        <v>464</v>
      </c>
      <c r="H31" t="s">
        <v>539</v>
      </c>
    </row>
    <row r="32" spans="1:8" ht="11.25">
      <c r="A32" t="s">
        <v>48</v>
      </c>
      <c r="B32" t="s">
        <v>48</v>
      </c>
      <c r="C32" t="s">
        <v>48</v>
      </c>
      <c r="D32" t="s">
        <v>276</v>
      </c>
      <c r="E32" t="s">
        <v>335</v>
      </c>
      <c r="F32" t="s">
        <v>400</v>
      </c>
      <c r="G32" t="s">
        <v>48</v>
      </c>
      <c r="H32" t="s">
        <v>540</v>
      </c>
    </row>
    <row r="33" spans="1:8" ht="11.25">
      <c r="A33" t="s">
        <v>49</v>
      </c>
      <c r="B33" t="s">
        <v>97</v>
      </c>
      <c r="C33" t="s">
        <v>207</v>
      </c>
      <c r="D33" t="s">
        <v>277</v>
      </c>
      <c r="E33" t="s">
        <v>49</v>
      </c>
      <c r="F33" t="s">
        <v>401</v>
      </c>
      <c r="G33" t="s">
        <v>465</v>
      </c>
      <c r="H33" t="s">
        <v>541</v>
      </c>
    </row>
    <row r="34" spans="1:8" ht="11.25">
      <c r="A34" t="s">
        <v>50</v>
      </c>
      <c r="B34" t="s">
        <v>98</v>
      </c>
      <c r="C34" t="s">
        <v>208</v>
      </c>
      <c r="D34" t="s">
        <v>278</v>
      </c>
      <c r="E34" t="s">
        <v>336</v>
      </c>
      <c r="F34" t="s">
        <v>402</v>
      </c>
      <c r="G34" t="s">
        <v>466</v>
      </c>
      <c r="H34" t="s">
        <v>542</v>
      </c>
    </row>
    <row r="35" spans="1:8" ht="11.25">
      <c r="A35" t="s">
        <v>1</v>
      </c>
      <c r="B35" t="s">
        <v>99</v>
      </c>
      <c r="C35" t="s">
        <v>99</v>
      </c>
      <c r="D35" t="s">
        <v>279</v>
      </c>
      <c r="E35" t="s">
        <v>101</v>
      </c>
      <c r="F35" t="s">
        <v>101</v>
      </c>
      <c r="G35" t="s">
        <v>1</v>
      </c>
      <c r="H35" t="s">
        <v>543</v>
      </c>
    </row>
    <row r="36" spans="1:8" ht="11.25">
      <c r="A36" t="s">
        <v>2</v>
      </c>
      <c r="B36" t="s">
        <v>100</v>
      </c>
      <c r="C36" t="s">
        <v>209</v>
      </c>
      <c r="D36" t="s">
        <v>280</v>
      </c>
      <c r="E36" t="s">
        <v>209</v>
      </c>
      <c r="F36" t="s">
        <v>403</v>
      </c>
      <c r="G36" t="s">
        <v>99</v>
      </c>
      <c r="H36" t="s">
        <v>51</v>
      </c>
    </row>
    <row r="37" spans="1:8" ht="11.25">
      <c r="A37" t="s">
        <v>3</v>
      </c>
      <c r="B37" t="s">
        <v>101</v>
      </c>
      <c r="C37" t="s">
        <v>210</v>
      </c>
      <c r="D37" t="s">
        <v>281</v>
      </c>
      <c r="E37" t="s">
        <v>210</v>
      </c>
      <c r="F37" t="s">
        <v>2</v>
      </c>
      <c r="G37" t="s">
        <v>101</v>
      </c>
      <c r="H37" t="s">
        <v>210</v>
      </c>
    </row>
    <row r="38" spans="1:8" ht="11.25">
      <c r="A38" t="s">
        <v>4</v>
      </c>
      <c r="B38" t="s">
        <v>102</v>
      </c>
      <c r="C38" t="s">
        <v>211</v>
      </c>
      <c r="D38" t="s">
        <v>412</v>
      </c>
      <c r="E38" t="s">
        <v>411</v>
      </c>
      <c r="F38" t="s">
        <v>404</v>
      </c>
      <c r="G38" t="s">
        <v>588</v>
      </c>
      <c r="H38" s="32" t="s">
        <v>587</v>
      </c>
    </row>
    <row r="39" spans="1:8" ht="11.25">
      <c r="A39" t="s">
        <v>5</v>
      </c>
      <c r="B39" t="s">
        <v>103</v>
      </c>
      <c r="C39" t="s">
        <v>212</v>
      </c>
      <c r="D39" t="s">
        <v>212</v>
      </c>
      <c r="E39" t="s">
        <v>337</v>
      </c>
      <c r="F39" t="s">
        <v>405</v>
      </c>
      <c r="G39" t="s">
        <v>467</v>
      </c>
      <c r="H39" t="s">
        <v>103</v>
      </c>
    </row>
    <row r="40" spans="1:8" ht="11.25">
      <c r="A40" t="s">
        <v>104</v>
      </c>
      <c r="B40" t="s">
        <v>105</v>
      </c>
      <c r="C40" t="s">
        <v>213</v>
      </c>
      <c r="D40" t="s">
        <v>282</v>
      </c>
      <c r="E40" t="s">
        <v>338</v>
      </c>
      <c r="F40" t="s">
        <v>282</v>
      </c>
      <c r="G40" t="s">
        <v>468</v>
      </c>
      <c r="H40" t="s">
        <v>544</v>
      </c>
    </row>
    <row r="41" spans="1:8" ht="11.25">
      <c r="A41" t="s">
        <v>19</v>
      </c>
      <c r="B41" t="s">
        <v>106</v>
      </c>
      <c r="C41" t="s">
        <v>214</v>
      </c>
      <c r="D41" t="s">
        <v>283</v>
      </c>
      <c r="E41" t="s">
        <v>339</v>
      </c>
      <c r="F41" t="s">
        <v>406</v>
      </c>
      <c r="G41" t="s">
        <v>471</v>
      </c>
      <c r="H41" t="s">
        <v>545</v>
      </c>
    </row>
    <row r="42" spans="1:8" ht="11.25">
      <c r="A42" t="s">
        <v>13</v>
      </c>
      <c r="B42" t="s">
        <v>107</v>
      </c>
      <c r="C42" t="s">
        <v>215</v>
      </c>
      <c r="D42" t="s">
        <v>284</v>
      </c>
      <c r="E42" t="s">
        <v>340</v>
      </c>
      <c r="F42" t="s">
        <v>407</v>
      </c>
      <c r="G42" t="s">
        <v>472</v>
      </c>
      <c r="H42" t="s">
        <v>546</v>
      </c>
    </row>
    <row r="43" spans="1:8" ht="11.25">
      <c r="A43" t="s">
        <v>14</v>
      </c>
      <c r="B43" t="s">
        <v>108</v>
      </c>
      <c r="C43" t="s">
        <v>216</v>
      </c>
      <c r="D43" t="s">
        <v>285</v>
      </c>
      <c r="E43" t="s">
        <v>341</v>
      </c>
      <c r="F43" t="s">
        <v>408</v>
      </c>
      <c r="G43" t="s">
        <v>469</v>
      </c>
      <c r="H43" t="s">
        <v>547</v>
      </c>
    </row>
    <row r="44" spans="1:8" ht="11.25">
      <c r="A44" t="s">
        <v>15</v>
      </c>
      <c r="B44" t="s">
        <v>109</v>
      </c>
      <c r="C44" t="s">
        <v>217</v>
      </c>
      <c r="D44" t="s">
        <v>286</v>
      </c>
      <c r="E44" t="s">
        <v>342</v>
      </c>
      <c r="F44" t="s">
        <v>409</v>
      </c>
      <c r="G44" t="s">
        <v>470</v>
      </c>
      <c r="H44" t="s">
        <v>548</v>
      </c>
    </row>
    <row r="45" spans="1:8" ht="11.25">
      <c r="A45" t="s">
        <v>16</v>
      </c>
      <c r="B45" t="s">
        <v>110</v>
      </c>
      <c r="C45" t="s">
        <v>218</v>
      </c>
      <c r="D45" t="s">
        <v>287</v>
      </c>
      <c r="E45" t="s">
        <v>343</v>
      </c>
      <c r="F45" t="s">
        <v>410</v>
      </c>
      <c r="G45" t="s">
        <v>473</v>
      </c>
      <c r="H45" t="s">
        <v>549</v>
      </c>
    </row>
    <row r="46" spans="1:8" ht="11.25">
      <c r="A46" t="s">
        <v>17</v>
      </c>
      <c r="B46" t="s">
        <v>111</v>
      </c>
      <c r="C46" t="s">
        <v>111</v>
      </c>
      <c r="D46" t="s">
        <v>17</v>
      </c>
      <c r="E46" t="s">
        <v>111</v>
      </c>
      <c r="F46" t="s">
        <v>17</v>
      </c>
      <c r="G46" t="s">
        <v>111</v>
      </c>
      <c r="H46" t="s">
        <v>550</v>
      </c>
    </row>
    <row r="47" spans="1:8" ht="11.25">
      <c r="A47" t="s">
        <v>18</v>
      </c>
      <c r="B47" t="s">
        <v>116</v>
      </c>
      <c r="C47" t="s">
        <v>219</v>
      </c>
      <c r="D47" t="s">
        <v>288</v>
      </c>
      <c r="E47" t="s">
        <v>552</v>
      </c>
      <c r="F47" t="s">
        <v>553</v>
      </c>
      <c r="G47" t="s">
        <v>554</v>
      </c>
      <c r="H47" t="s">
        <v>551</v>
      </c>
    </row>
    <row r="48" spans="1:8" ht="11.25">
      <c r="A48" t="s">
        <v>117</v>
      </c>
      <c r="B48" t="s">
        <v>119</v>
      </c>
      <c r="C48" t="s">
        <v>220</v>
      </c>
      <c r="D48" t="s">
        <v>289</v>
      </c>
      <c r="E48" t="s">
        <v>344</v>
      </c>
      <c r="F48" t="s">
        <v>413</v>
      </c>
      <c r="G48" t="s">
        <v>474</v>
      </c>
      <c r="H48" t="s">
        <v>555</v>
      </c>
    </row>
    <row r="49" spans="1:8" ht="11.25">
      <c r="A49" t="s">
        <v>118</v>
      </c>
      <c r="B49" t="s">
        <v>120</v>
      </c>
      <c r="C49" t="s">
        <v>229</v>
      </c>
      <c r="D49" t="s">
        <v>297</v>
      </c>
      <c r="E49" t="s">
        <v>352</v>
      </c>
      <c r="F49" t="s">
        <v>421</v>
      </c>
      <c r="G49" t="s">
        <v>475</v>
      </c>
      <c r="H49" t="s">
        <v>564</v>
      </c>
    </row>
    <row r="50" spans="1:8" ht="11.25">
      <c r="A50" t="s">
        <v>121</v>
      </c>
      <c r="B50" t="s">
        <v>122</v>
      </c>
      <c r="C50" t="s">
        <v>221</v>
      </c>
      <c r="D50" t="s">
        <v>290</v>
      </c>
      <c r="E50" t="s">
        <v>345</v>
      </c>
      <c r="F50" t="s">
        <v>414</v>
      </c>
      <c r="G50" t="s">
        <v>476</v>
      </c>
      <c r="H50" t="s">
        <v>556</v>
      </c>
    </row>
    <row r="51" spans="1:8" ht="11.25">
      <c r="A51" t="s">
        <v>123</v>
      </c>
      <c r="B51" t="s">
        <v>124</v>
      </c>
      <c r="C51" t="s">
        <v>228</v>
      </c>
      <c r="D51" t="s">
        <v>297</v>
      </c>
      <c r="E51" t="s">
        <v>353</v>
      </c>
      <c r="F51" t="s">
        <v>422</v>
      </c>
      <c r="G51" t="s">
        <v>477</v>
      </c>
      <c r="H51" t="s">
        <v>563</v>
      </c>
    </row>
    <row r="52" spans="1:8" ht="11.25">
      <c r="A52" t="s">
        <v>125</v>
      </c>
      <c r="B52" t="s">
        <v>126</v>
      </c>
      <c r="C52" t="s">
        <v>222</v>
      </c>
      <c r="D52" t="s">
        <v>291</v>
      </c>
      <c r="E52" t="s">
        <v>346</v>
      </c>
      <c r="F52" t="s">
        <v>415</v>
      </c>
      <c r="G52" t="s">
        <v>478</v>
      </c>
      <c r="H52" t="s">
        <v>557</v>
      </c>
    </row>
    <row r="53" spans="1:8" ht="11.25">
      <c r="A53" t="s">
        <v>127</v>
      </c>
      <c r="B53" t="s">
        <v>128</v>
      </c>
      <c r="C53" t="s">
        <v>230</v>
      </c>
      <c r="D53" t="s">
        <v>298</v>
      </c>
      <c r="E53" t="s">
        <v>354</v>
      </c>
      <c r="F53" t="s">
        <v>423</v>
      </c>
      <c r="G53" t="s">
        <v>479</v>
      </c>
      <c r="H53" t="s">
        <v>565</v>
      </c>
    </row>
    <row r="54" spans="1:8" ht="11.25">
      <c r="A54" t="s">
        <v>129</v>
      </c>
      <c r="B54" t="s">
        <v>130</v>
      </c>
      <c r="C54" t="s">
        <v>223</v>
      </c>
      <c r="D54" s="31" t="s">
        <v>292</v>
      </c>
      <c r="E54" s="31" t="s">
        <v>347</v>
      </c>
      <c r="F54" s="31" t="s">
        <v>416</v>
      </c>
      <c r="G54" t="s">
        <v>480</v>
      </c>
      <c r="H54" t="s">
        <v>558</v>
      </c>
    </row>
    <row r="55" spans="1:8" ht="11.25">
      <c r="A55" t="s">
        <v>131</v>
      </c>
      <c r="B55" t="s">
        <v>132</v>
      </c>
      <c r="C55" t="s">
        <v>231</v>
      </c>
      <c r="D55" s="31" t="s">
        <v>299</v>
      </c>
      <c r="E55" s="31" t="s">
        <v>355</v>
      </c>
      <c r="F55" s="31" t="s">
        <v>425</v>
      </c>
      <c r="G55" t="s">
        <v>481</v>
      </c>
      <c r="H55" t="s">
        <v>566</v>
      </c>
    </row>
    <row r="56" spans="1:8" ht="11.25">
      <c r="A56" t="s">
        <v>133</v>
      </c>
      <c r="B56" t="s">
        <v>134</v>
      </c>
      <c r="C56" t="s">
        <v>224</v>
      </c>
      <c r="D56" t="s">
        <v>293</v>
      </c>
      <c r="E56" t="s">
        <v>348</v>
      </c>
      <c r="F56" t="s">
        <v>417</v>
      </c>
      <c r="G56" t="s">
        <v>482</v>
      </c>
      <c r="H56" t="s">
        <v>559</v>
      </c>
    </row>
    <row r="57" spans="1:8" ht="11.25">
      <c r="A57" t="s">
        <v>135</v>
      </c>
      <c r="B57" t="s">
        <v>136</v>
      </c>
      <c r="C57" t="s">
        <v>232</v>
      </c>
      <c r="D57" t="s">
        <v>300</v>
      </c>
      <c r="E57" t="s">
        <v>356</v>
      </c>
      <c r="F57" t="s">
        <v>424</v>
      </c>
      <c r="G57" t="s">
        <v>483</v>
      </c>
      <c r="H57" t="s">
        <v>567</v>
      </c>
    </row>
    <row r="58" spans="1:8" ht="11.25">
      <c r="A58" t="s">
        <v>137</v>
      </c>
      <c r="B58" t="s">
        <v>138</v>
      </c>
      <c r="C58" t="s">
        <v>225</v>
      </c>
      <c r="D58" t="s">
        <v>294</v>
      </c>
      <c r="E58" t="s">
        <v>351</v>
      </c>
      <c r="F58" t="s">
        <v>418</v>
      </c>
      <c r="G58" t="s">
        <v>484</v>
      </c>
      <c r="H58" t="s">
        <v>560</v>
      </c>
    </row>
    <row r="59" spans="1:8" ht="11.25">
      <c r="A59" t="s">
        <v>139</v>
      </c>
      <c r="B59" t="s">
        <v>140</v>
      </c>
      <c r="C59" t="s">
        <v>233</v>
      </c>
      <c r="D59" t="s">
        <v>301</v>
      </c>
      <c r="E59" t="s">
        <v>357</v>
      </c>
      <c r="F59" t="s">
        <v>426</v>
      </c>
      <c r="G59" t="s">
        <v>485</v>
      </c>
      <c r="H59" t="s">
        <v>568</v>
      </c>
    </row>
    <row r="60" spans="1:8" ht="11.25">
      <c r="A60" t="s">
        <v>141</v>
      </c>
      <c r="B60" t="s">
        <v>142</v>
      </c>
      <c r="C60" t="s">
        <v>226</v>
      </c>
      <c r="D60" t="s">
        <v>295</v>
      </c>
      <c r="E60" t="s">
        <v>349</v>
      </c>
      <c r="F60" t="s">
        <v>419</v>
      </c>
      <c r="G60" t="s">
        <v>486</v>
      </c>
      <c r="H60" t="s">
        <v>561</v>
      </c>
    </row>
    <row r="61" spans="1:8" ht="11.25">
      <c r="A61" t="s">
        <v>143</v>
      </c>
      <c r="B61" t="s">
        <v>144</v>
      </c>
      <c r="C61" t="s">
        <v>234</v>
      </c>
      <c r="D61" t="s">
        <v>302</v>
      </c>
      <c r="E61" t="s">
        <v>358</v>
      </c>
      <c r="F61" t="s">
        <v>427</v>
      </c>
      <c r="G61" t="s">
        <v>487</v>
      </c>
      <c r="H61" t="s">
        <v>569</v>
      </c>
    </row>
    <row r="62" spans="1:8" ht="11.25">
      <c r="A62" t="s">
        <v>145</v>
      </c>
      <c r="B62" t="s">
        <v>146</v>
      </c>
      <c r="C62" t="s">
        <v>227</v>
      </c>
      <c r="D62" t="s">
        <v>296</v>
      </c>
      <c r="E62" t="s">
        <v>350</v>
      </c>
      <c r="F62" t="s">
        <v>420</v>
      </c>
      <c r="G62" t="s">
        <v>488</v>
      </c>
      <c r="H62" t="s">
        <v>562</v>
      </c>
    </row>
    <row r="63" spans="1:8" ht="11.25">
      <c r="A63" t="s">
        <v>147</v>
      </c>
      <c r="B63" t="s">
        <v>148</v>
      </c>
      <c r="C63" t="s">
        <v>235</v>
      </c>
      <c r="D63" t="s">
        <v>303</v>
      </c>
      <c r="E63" t="s">
        <v>359</v>
      </c>
      <c r="F63" t="s">
        <v>428</v>
      </c>
      <c r="G63" t="s">
        <v>489</v>
      </c>
      <c r="H63" t="s">
        <v>570</v>
      </c>
    </row>
    <row r="64" spans="1:8" ht="11.25">
      <c r="A64" t="s">
        <v>149</v>
      </c>
      <c r="B64" t="s">
        <v>157</v>
      </c>
      <c r="C64" t="s">
        <v>236</v>
      </c>
      <c r="D64" t="s">
        <v>304</v>
      </c>
      <c r="E64" t="s">
        <v>360</v>
      </c>
      <c r="F64" t="s">
        <v>429</v>
      </c>
      <c r="G64" t="s">
        <v>490</v>
      </c>
      <c r="H64" t="s">
        <v>571</v>
      </c>
    </row>
    <row r="65" spans="1:8" ht="11.25">
      <c r="A65" t="s">
        <v>150</v>
      </c>
      <c r="B65" t="s">
        <v>158</v>
      </c>
      <c r="C65" t="s">
        <v>237</v>
      </c>
      <c r="D65" t="s">
        <v>305</v>
      </c>
      <c r="E65" t="s">
        <v>361</v>
      </c>
      <c r="F65" t="s">
        <v>430</v>
      </c>
      <c r="G65" t="s">
        <v>491</v>
      </c>
      <c r="H65" t="s">
        <v>572</v>
      </c>
    </row>
    <row r="66" spans="1:8" ht="11.25">
      <c r="A66" t="s">
        <v>151</v>
      </c>
      <c r="B66" t="s">
        <v>159</v>
      </c>
      <c r="C66" t="s">
        <v>238</v>
      </c>
      <c r="D66" t="s">
        <v>306</v>
      </c>
      <c r="E66" t="s">
        <v>362</v>
      </c>
      <c r="F66" t="s">
        <v>431</v>
      </c>
      <c r="G66" t="s">
        <v>492</v>
      </c>
      <c r="H66" t="s">
        <v>573</v>
      </c>
    </row>
    <row r="67" spans="1:8" ht="11.25">
      <c r="A67" t="s">
        <v>152</v>
      </c>
      <c r="B67" t="s">
        <v>160</v>
      </c>
      <c r="C67" t="s">
        <v>239</v>
      </c>
      <c r="D67" t="s">
        <v>307</v>
      </c>
      <c r="E67" t="s">
        <v>363</v>
      </c>
      <c r="F67" t="s">
        <v>432</v>
      </c>
      <c r="G67" t="s">
        <v>493</v>
      </c>
      <c r="H67" t="s">
        <v>574</v>
      </c>
    </row>
    <row r="68" spans="1:8" ht="11.25">
      <c r="A68" t="s">
        <v>153</v>
      </c>
      <c r="B68" t="s">
        <v>161</v>
      </c>
      <c r="C68" t="s">
        <v>240</v>
      </c>
      <c r="D68" t="s">
        <v>308</v>
      </c>
      <c r="E68" t="s">
        <v>364</v>
      </c>
      <c r="F68" t="s">
        <v>433</v>
      </c>
      <c r="G68" t="s">
        <v>494</v>
      </c>
      <c r="H68" t="s">
        <v>575</v>
      </c>
    </row>
    <row r="69" spans="1:8" ht="11.25">
      <c r="A69" t="s">
        <v>154</v>
      </c>
      <c r="B69" t="s">
        <v>162</v>
      </c>
      <c r="C69" t="s">
        <v>241</v>
      </c>
      <c r="D69" t="s">
        <v>309</v>
      </c>
      <c r="E69" t="s">
        <v>365</v>
      </c>
      <c r="F69" t="s">
        <v>434</v>
      </c>
      <c r="G69" t="s">
        <v>495</v>
      </c>
      <c r="H69" t="s">
        <v>576</v>
      </c>
    </row>
    <row r="70" spans="1:8" ht="11.25">
      <c r="A70" t="s">
        <v>155</v>
      </c>
      <c r="B70" t="s">
        <v>163</v>
      </c>
      <c r="C70" t="s">
        <v>242</v>
      </c>
      <c r="D70" t="s">
        <v>310</v>
      </c>
      <c r="E70" t="s">
        <v>366</v>
      </c>
      <c r="F70" t="s">
        <v>435</v>
      </c>
      <c r="G70" t="s">
        <v>496</v>
      </c>
      <c r="H70" t="s">
        <v>577</v>
      </c>
    </row>
    <row r="71" spans="1:8" ht="11.25">
      <c r="A71" t="s">
        <v>156</v>
      </c>
      <c r="B71" t="s">
        <v>164</v>
      </c>
      <c r="C71" t="s">
        <v>243</v>
      </c>
      <c r="D71" t="s">
        <v>311</v>
      </c>
      <c r="E71" t="s">
        <v>367</v>
      </c>
      <c r="F71" t="s">
        <v>436</v>
      </c>
      <c r="G71" t="s">
        <v>497</v>
      </c>
      <c r="H71" t="s">
        <v>578</v>
      </c>
    </row>
    <row r="72" spans="1:8" ht="11.25">
      <c r="A72" t="s">
        <v>165</v>
      </c>
      <c r="B72" t="s">
        <v>169</v>
      </c>
      <c r="C72" t="s">
        <v>244</v>
      </c>
      <c r="D72" t="s">
        <v>312</v>
      </c>
      <c r="E72" t="s">
        <v>368</v>
      </c>
      <c r="F72" t="s">
        <v>437</v>
      </c>
      <c r="G72" t="s">
        <v>498</v>
      </c>
      <c r="H72" t="s">
        <v>579</v>
      </c>
    </row>
    <row r="73" spans="1:8" ht="11.25">
      <c r="A73" t="s">
        <v>166</v>
      </c>
      <c r="B73" t="s">
        <v>170</v>
      </c>
      <c r="C73" t="s">
        <v>245</v>
      </c>
      <c r="D73" t="s">
        <v>313</v>
      </c>
      <c r="E73" t="s">
        <v>369</v>
      </c>
      <c r="F73" t="s">
        <v>438</v>
      </c>
      <c r="G73" t="s">
        <v>499</v>
      </c>
      <c r="H73" t="s">
        <v>580</v>
      </c>
    </row>
    <row r="74" spans="1:8" ht="11.25">
      <c r="A74" t="s">
        <v>167</v>
      </c>
      <c r="B74" t="s">
        <v>171</v>
      </c>
      <c r="C74" t="s">
        <v>246</v>
      </c>
      <c r="D74" t="s">
        <v>314</v>
      </c>
      <c r="E74" t="s">
        <v>370</v>
      </c>
      <c r="F74" t="s">
        <v>439</v>
      </c>
      <c r="G74" t="s">
        <v>500</v>
      </c>
      <c r="H74" t="s">
        <v>581</v>
      </c>
    </row>
    <row r="75" spans="1:8" ht="11.25">
      <c r="A75" t="s">
        <v>168</v>
      </c>
      <c r="B75" t="s">
        <v>172</v>
      </c>
      <c r="C75" t="s">
        <v>247</v>
      </c>
      <c r="D75" t="s">
        <v>315</v>
      </c>
      <c r="E75" t="s">
        <v>371</v>
      </c>
      <c r="F75" t="s">
        <v>440</v>
      </c>
      <c r="G75" t="s">
        <v>501</v>
      </c>
      <c r="H75" t="s">
        <v>582</v>
      </c>
    </row>
    <row r="76" spans="1:8" ht="11.25">
      <c r="A76" t="s">
        <v>173</v>
      </c>
      <c r="B76" t="s">
        <v>177</v>
      </c>
      <c r="C76" t="s">
        <v>248</v>
      </c>
      <c r="D76" t="s">
        <v>316</v>
      </c>
      <c r="E76" t="s">
        <v>372</v>
      </c>
      <c r="F76" t="s">
        <v>441</v>
      </c>
      <c r="G76" t="s">
        <v>502</v>
      </c>
      <c r="H76" t="s">
        <v>583</v>
      </c>
    </row>
    <row r="77" spans="1:8" ht="11.25">
      <c r="A77" t="s">
        <v>174</v>
      </c>
      <c r="B77" t="s">
        <v>178</v>
      </c>
      <c r="C77" t="s">
        <v>249</v>
      </c>
      <c r="D77" t="s">
        <v>316</v>
      </c>
      <c r="E77" t="s">
        <v>373</v>
      </c>
      <c r="F77" t="s">
        <v>442</v>
      </c>
      <c r="G77" t="s">
        <v>503</v>
      </c>
      <c r="H77" t="s">
        <v>584</v>
      </c>
    </row>
    <row r="78" spans="1:8" ht="11.25">
      <c r="A78" t="s">
        <v>175</v>
      </c>
      <c r="B78" t="s">
        <v>179</v>
      </c>
      <c r="C78" t="s">
        <v>250</v>
      </c>
      <c r="D78" t="s">
        <v>317</v>
      </c>
      <c r="E78" t="s">
        <v>374</v>
      </c>
      <c r="F78" t="s">
        <v>443</v>
      </c>
      <c r="G78" t="s">
        <v>504</v>
      </c>
      <c r="H78" t="s">
        <v>585</v>
      </c>
    </row>
    <row r="79" spans="1:8" ht="11.25">
      <c r="A79" t="s">
        <v>176</v>
      </c>
      <c r="B79" t="s">
        <v>180</v>
      </c>
      <c r="C79" t="s">
        <v>251</v>
      </c>
      <c r="D79" t="s">
        <v>317</v>
      </c>
      <c r="E79" t="s">
        <v>375</v>
      </c>
      <c r="F79" t="s">
        <v>444</v>
      </c>
      <c r="G79" t="s">
        <v>505</v>
      </c>
      <c r="H79" t="s">
        <v>586</v>
      </c>
    </row>
    <row r="80" spans="1:8" ht="11.25">
      <c r="A80" t="s">
        <v>114</v>
      </c>
      <c r="B80" t="s">
        <v>114</v>
      </c>
      <c r="C80" t="s">
        <v>252</v>
      </c>
      <c r="D80" t="s">
        <v>114</v>
      </c>
      <c r="E80" t="s">
        <v>376</v>
      </c>
      <c r="F80" t="s">
        <v>114</v>
      </c>
      <c r="G80" t="s">
        <v>506</v>
      </c>
      <c r="H80" t="s">
        <v>114</v>
      </c>
    </row>
    <row r="81" spans="1:8" ht="11.25">
      <c r="A81" t="s">
        <v>115</v>
      </c>
      <c r="B81" t="s">
        <v>115</v>
      </c>
      <c r="C81" t="s">
        <v>253</v>
      </c>
      <c r="D81" t="s">
        <v>115</v>
      </c>
      <c r="E81" t="s">
        <v>377</v>
      </c>
      <c r="F81" t="s">
        <v>115</v>
      </c>
      <c r="G81" t="s">
        <v>507</v>
      </c>
      <c r="H81" t="s">
        <v>115</v>
      </c>
    </row>
    <row r="82" spans="1:8" ht="11.25">
      <c r="A82" t="s">
        <v>509</v>
      </c>
      <c r="B82" t="s">
        <v>510</v>
      </c>
      <c r="C82" t="s">
        <v>511</v>
      </c>
      <c r="D82" t="s">
        <v>509</v>
      </c>
      <c r="E82" t="s">
        <v>513</v>
      </c>
      <c r="F82" t="s">
        <v>514</v>
      </c>
      <c r="G82" t="s">
        <v>512</v>
      </c>
      <c r="H82" t="s">
        <v>509</v>
      </c>
    </row>
    <row r="83" spans="1:8" ht="11.25">
      <c r="A83" t="s">
        <v>112</v>
      </c>
      <c r="B83" t="s">
        <v>113</v>
      </c>
      <c r="C83" t="s">
        <v>254</v>
      </c>
      <c r="D83" t="s">
        <v>112</v>
      </c>
      <c r="E83" t="s">
        <v>378</v>
      </c>
      <c r="F83" t="s">
        <v>445</v>
      </c>
      <c r="G83" t="s">
        <v>508</v>
      </c>
      <c r="H83" t="s">
        <v>112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Kozyr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Kozyr</dc:creator>
  <cp:keywords/>
  <dc:description/>
  <cp:lastModifiedBy>Connie</cp:lastModifiedBy>
  <cp:lastPrinted>2006-03-06T09:14:23Z</cp:lastPrinted>
  <dcterms:created xsi:type="dcterms:W3CDTF">2005-12-06T22:26:17Z</dcterms:created>
  <dcterms:modified xsi:type="dcterms:W3CDTF">2006-05-11T19:36:10Z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